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320" windowHeight="13725" firstSheet="1" activeTab="1"/>
  </bookViews>
  <sheets>
    <sheet name="2026简表" sheetId="2" state="hidden" r:id="rId1"/>
    <sheet name="2026总表" sheetId="1" r:id="rId2"/>
    <sheet name="2025表 " sheetId="5" state="hidden" r:id="rId3"/>
    <sheet name="总表 (2)" sheetId="4" state="hidden" r:id="rId4"/>
    <sheet name="总表 (带公式)" sheetId="3" state="hidden" r:id="rId5"/>
  </sheets>
  <externalReferences>
    <externalReference r:id="rId6"/>
  </externalReferences>
  <definedNames>
    <definedName name="_11_北京市">[1]内置数据!$C$2:$C$17</definedName>
    <definedName name="_12_天津市">[1]内置数据!$D$2:$D$17</definedName>
    <definedName name="_13_河北省">[1]内置数据!$E$2:$E$13</definedName>
    <definedName name="_1301_石家庄市">[1]内置数据!$AK$2:$AK$23</definedName>
    <definedName name="_1302_唐山市">[1]内置数据!$AL$2:$AL$15</definedName>
    <definedName name="_1303_秦皇岛市">[1]内置数据!$AM$2:$AM$8</definedName>
    <definedName name="_1304_邯郸市">[1]内置数据!$AN$2:$AN$19</definedName>
    <definedName name="_1305_邢台市">[1]内置数据!$AO$2:$AO$19</definedName>
    <definedName name="_1306_保定市">[1]内置数据!$AP$2:$AP$22</definedName>
    <definedName name="_1307_张家口市">[1]内置数据!$AQ$2:$AQ$17</definedName>
    <definedName name="_1308_承德市">[1]内置数据!$AR$2:$AR$12</definedName>
    <definedName name="_1309_沧州市">[1]内置数据!$AS$2:$AS$17</definedName>
    <definedName name="_1310_廊坊市">[1]内置数据!$AT$2:$AT$11</definedName>
    <definedName name="_1311_衡水市">[1]内置数据!$AU$2:$AU$12</definedName>
    <definedName name="_1314_雄安新区">[1]内置数据!$AV$2:$AV$4</definedName>
    <definedName name="_14_山西省">[1]内置数据!$F$2:$F$12</definedName>
    <definedName name="_1401_太原市">[1]内置数据!$AW$2:$AW$11</definedName>
    <definedName name="_1402_大同市">[1]内置数据!$AX$2:$AX$11</definedName>
    <definedName name="_1403_阳泉市">[1]内置数据!$AY$2:$AY$6</definedName>
    <definedName name="_1404_长治市">[1]内置数据!$AZ$2:$AZ$13</definedName>
    <definedName name="_1405_晋城市">[1]内置数据!$BA$2:$BA$7</definedName>
    <definedName name="_1406_朔州市">[1]内置数据!$BB$2:$BB$7</definedName>
    <definedName name="_1407_晋中市">[1]内置数据!$BC$2:$BC$12</definedName>
    <definedName name="_1408_运城市">[1]内置数据!$BD$2:$BD$14</definedName>
    <definedName name="_1409_忻州市">[1]内置数据!$BE$2:$BE$15</definedName>
    <definedName name="_1410_临汾市">[1]内置数据!$BF$2:$BF$18</definedName>
    <definedName name="_1411_吕梁市">[1]内置数据!$BG$2:$BG$14</definedName>
    <definedName name="_15_内蒙古自治区">[1]内置数据!$G$2:$G$13</definedName>
    <definedName name="_1501_呼和浩特市">[1]内置数据!$BH$2:$BH$10</definedName>
    <definedName name="_1502_包头市">[1]内置数据!$BI$2:$BI$10</definedName>
    <definedName name="_1503_乌海市">[1]内置数据!$BJ$2:$BJ$4</definedName>
    <definedName name="_1504_赤峰市">[1]内置数据!$BK$2:$BK$13</definedName>
    <definedName name="_1505_通辽市">[1]内置数据!$BL$2:$BL$9</definedName>
    <definedName name="_1506_鄂尔多斯市">[1]内置数据!$BM$2:$BM$10</definedName>
    <definedName name="_1507_呼伦贝尔市">[1]内置数据!$BN$2:$BN$15</definedName>
    <definedName name="_1508_巴彦淖尔市">[1]内置数据!$BO$2:$BO$8</definedName>
    <definedName name="_1509_乌兰察布市">[1]内置数据!$BP$2:$BP$12</definedName>
    <definedName name="_1522_兴安盟">[1]内置数据!$BQ$2:$BQ$7</definedName>
    <definedName name="_1525_锡林郭勒盟">[1]内置数据!$BR$2:$BR$13</definedName>
    <definedName name="_1529_阿拉善盟">[1]内置数据!$BS$2:$BS$4</definedName>
    <definedName name="_21_辽宁省">[1]内置数据!$H$2:$H$15</definedName>
    <definedName name="_2101_沈阳市">[1]内置数据!$BT$2:$BT$14</definedName>
    <definedName name="_2102_大连市">[1]内置数据!$BU$2:$BU$11</definedName>
    <definedName name="_2103_鞍山市">[1]内置数据!$BV$2:$BV$8</definedName>
    <definedName name="_2104_抚顺市">[1]内置数据!$BW$2:$BW$8</definedName>
    <definedName name="_2105_本溪市">[1]内置数据!$BX$2:$BX$7</definedName>
    <definedName name="_2106_丹东市">[1]内置数据!$BY$2:$BY$7</definedName>
    <definedName name="_2107_锦州市">[1]内置数据!$BZ$2:$BZ$8</definedName>
    <definedName name="_2108_营口市">[1]内置数据!$CA$2:$CA$7</definedName>
    <definedName name="_2109_阜新市">[1]内置数据!$CB$2:$CB$8</definedName>
    <definedName name="_2110_辽阳市">[1]内置数据!$CC$2:$CC$8</definedName>
    <definedName name="_2111_盘锦市">[1]内置数据!$CD$2:$CD$5</definedName>
    <definedName name="_2112_铁岭市">[1]内置数据!$CE$2:$CE$8</definedName>
    <definedName name="_2113_朝阳市">[1]内置数据!$CF$2:$CF$8</definedName>
    <definedName name="_2114_葫芦岛市">[1]内置数据!$CG$2:$CG$7</definedName>
    <definedName name="_22_吉林省">[1]内置数据!$I$2:$I$10</definedName>
    <definedName name="_2201_长春市">[1]内置数据!$CH$2:$CH$12</definedName>
    <definedName name="_2202_吉林市">[1]内置数据!$CI$2:$CI$10</definedName>
    <definedName name="_2203_四平市">[1]内置数据!$CJ$2:$CJ$6</definedName>
    <definedName name="_2204_辽源市">[1]内置数据!$CK$2:$CK$5</definedName>
    <definedName name="_2205_通化市">[1]内置数据!$CL$2:$CL$8</definedName>
    <definedName name="_2206_白山市">[1]内置数据!$CM$2:$CM$7</definedName>
    <definedName name="_2207_松原市">[1]内置数据!$CN$2:$CN$6</definedName>
    <definedName name="_2208_白城市">[1]内置数据!$CO$2:$CO$6</definedName>
    <definedName name="_2224_延边朝鲜族自治州">[1]内置数据!$CP$2:$CP$9</definedName>
    <definedName name="_23_黑龙江省">[1]内置数据!$J$2:$J$14</definedName>
    <definedName name="_2301_哈尔滨市">[1]内置数据!$CQ$2:$CQ$19</definedName>
    <definedName name="_2302_齐齐哈尔市">[1]内置数据!$CR$2:$CR$17</definedName>
    <definedName name="_2303_鸡西市">[1]内置数据!$CS$2:$CS$10</definedName>
    <definedName name="_2304_鹤岗市">[1]内置数据!$CT$2:$CT$9</definedName>
    <definedName name="_2305_双鸭山市">[1]内置数据!$CU$2:$CU$9</definedName>
    <definedName name="_2306_大庆市">[1]内置数据!$CV$2:$CV$10</definedName>
    <definedName name="_2307_伊春市">[1]内置数据!$CW$2:$CW$11</definedName>
    <definedName name="_2308_佳木斯市">[1]内置数据!$CX$2:$CX$11</definedName>
    <definedName name="_2309_七台河市">[1]内置数据!$CY$2:$CY$5</definedName>
    <definedName name="_2310_牡丹江市">[1]内置数据!$CZ$2:$CZ$11</definedName>
    <definedName name="_2311_黑河市">[1]内置数据!$DA$2:$DA$7</definedName>
    <definedName name="_2312_绥化市">[1]内置数据!$DB$2:$DB$11</definedName>
    <definedName name="_2327_大兴安岭地区">[1]内置数据!$DC$2:$DC$5</definedName>
    <definedName name="_31_上海市">[1]内置数据!$K$2:$K$17</definedName>
    <definedName name="_32_江苏省">[1]内置数据!$L$2:$L$14</definedName>
    <definedName name="_3201_南京市">[1]内置数据!$DD$2:$DD$12</definedName>
    <definedName name="_3202_无锡市">[1]内置数据!$DE$2:$DE$8</definedName>
    <definedName name="_3203_徐州市">[1]内置数据!$DF$2:$DF$11</definedName>
    <definedName name="_3204_常州市">[1]内置数据!$DG$2:$DG$7</definedName>
    <definedName name="_3205_苏州市">[1]内置数据!$DH$2:$DH$10</definedName>
    <definedName name="_3206_南通市">[1]内置数据!$DI$2:$DI$8</definedName>
    <definedName name="_3207_连云港市">[1]内置数据!$DJ$2:$DJ$7</definedName>
    <definedName name="_3208_淮安市">[1]内置数据!$DK$2:$DK$8</definedName>
    <definedName name="_3209_盐城市">[1]内置数据!$DL$2:$DL$10</definedName>
    <definedName name="_3210_扬州市">[1]内置数据!$DM$2:$DM$7</definedName>
    <definedName name="_3211_镇江市">[1]内置数据!$DN$2:$DN$7</definedName>
    <definedName name="_3212_泰州市">[1]内置数据!$DO$2:$DO$7</definedName>
    <definedName name="_3213_宿迁市">[1]内置数据!$DP$2:$DP$6</definedName>
    <definedName name="_33_浙江省">[1]内置数据!$M$2:$M$12</definedName>
    <definedName name="_3301_杭州市">[1]内置数据!$DQ$2:$DQ$14</definedName>
    <definedName name="_3302_宁波市">[1]内置数据!$DR$2:$DR$11</definedName>
    <definedName name="_3303_温州市">[1]内置数据!$DS$2:$DS$13</definedName>
    <definedName name="_3304_嘉兴市">[1]内置数据!$DT$2:$DT$8</definedName>
    <definedName name="_3305_湖州市">[1]内置数据!$DU$2:$DU$6</definedName>
    <definedName name="_3306_绍兴市">[1]内置数据!$DV$2:$DV$7</definedName>
    <definedName name="_3307_金华市">[1]内置数据!$DW$2:$DW$10</definedName>
    <definedName name="_3308_衢州市">[1]内置数据!$DX$2:$DX$7</definedName>
    <definedName name="_3309_舟山市">[1]内置数据!$DY$2:$DY$5</definedName>
    <definedName name="_3310_台州市">[1]内置数据!$DZ$2:$DZ$10</definedName>
    <definedName name="_3311_丽水市">[1]内置数据!$EA$2:$EA$10</definedName>
    <definedName name="_34_安徽省">[1]内置数据!$N$2:$N$17</definedName>
    <definedName name="_3401_合肥市">[1]内置数据!$EB$2:$EB$10</definedName>
    <definedName name="_3402_芜湖市">[1]内置数据!$EC$2:$EC$8</definedName>
    <definedName name="_3403_蚌埠市">[1]内置数据!$ED$2:$ED$8</definedName>
    <definedName name="_3404_淮南市">[1]内置数据!$EE$2:$EE$8</definedName>
    <definedName name="_3405_马鞍山市">[1]内置数据!$EF$2:$EF$7</definedName>
    <definedName name="_3406_淮北市">[1]内置数据!$EG$2:$EG$5</definedName>
    <definedName name="_3407_铜陵市">[1]内置数据!$EH$2:$EH$5</definedName>
    <definedName name="_3408_安庆市">[1]内置数据!$EI$2:$EI$11</definedName>
    <definedName name="_3410_黄山市">[1]内置数据!$EJ$2:$EJ$8</definedName>
    <definedName name="_3411_滁州市">[1]内置数据!$EK$2:$EK$9</definedName>
    <definedName name="_3412_阜阳市">[1]内置数据!$EL$2:$EL$9</definedName>
    <definedName name="_3413_宿州市">[1]内置数据!$EM$2:$EM$6</definedName>
    <definedName name="_3415_六安市">[1]内置数据!$EN$2:$EN$8</definedName>
    <definedName name="_3416_亳州市">[1]内置数据!$EO$2:$EO$5</definedName>
    <definedName name="_3417_池州市">[1]内置数据!$EP$2:$EP$5</definedName>
    <definedName name="_3418_宣城市">[1]内置数据!$EQ$2:$EQ$8</definedName>
    <definedName name="_35_福建省">[1]内置数据!$O$2:$O$10</definedName>
    <definedName name="_3501_福州市">[1]内置数据!$ER$2:$ER$14</definedName>
    <definedName name="_3502_厦门市">[1]内置数据!$ES$2:$ES$7</definedName>
    <definedName name="_3503_莆田市">[1]内置数据!$ET$2:$ET$6</definedName>
    <definedName name="_3504_三明市">[1]内置数据!$EU$2:$EU$12</definedName>
    <definedName name="_3505_泉州市">[1]内置数据!$EV$2:$EV$13</definedName>
    <definedName name="_3506_漳州市">[1]内置数据!$EW$2:$EW$12</definedName>
    <definedName name="_3507_南平市">[1]内置数据!$EX$2:$EX$11</definedName>
    <definedName name="_3508_龙岩市">[1]内置数据!$EY$2:$EY$8</definedName>
    <definedName name="_3509_宁德市">[1]内置数据!$EZ$2:$EZ$10</definedName>
    <definedName name="_36_江西省">[1]内置数据!$P$2:$P$12</definedName>
    <definedName name="_3601_南昌市">[1]内置数据!$FA$2:$FA$10</definedName>
    <definedName name="_3602_景德镇市">[1]内置数据!$FB$2:$FB$5</definedName>
    <definedName name="_3603_萍乡市">[1]内置数据!$FC$2:$FC$6</definedName>
    <definedName name="_3604_九江市">[1]内置数据!$FD$2:$FD$14</definedName>
    <definedName name="_3605_新余市">[1]内置数据!$FE$2:$FE$3</definedName>
    <definedName name="_3606_鹰潭市">[1]内置数据!$FF$2:$FF$4</definedName>
    <definedName name="_3607_赣州市">[1]内置数据!$FG$2:$FG$19</definedName>
    <definedName name="_3608_吉安市">[1]内置数据!$FH$2:$FH$14</definedName>
    <definedName name="_3609_宜春市">[1]内置数据!$FI$2:$FI$11</definedName>
    <definedName name="_3610_抚州市">[1]内置数据!$FJ$2:$FJ$12</definedName>
    <definedName name="_3611_上饶市">[1]内置数据!$FK$2:$FK$13</definedName>
    <definedName name="_37_山东省">[1]内置数据!$Q$2:$Q$17</definedName>
    <definedName name="_3701_济南市">[1]内置数据!$FL$2:$FL$13</definedName>
    <definedName name="_3702_青岛市">[1]内置数据!$FM$2:$FM$11</definedName>
    <definedName name="_3703_淄博市">[1]内置数据!$FN$2:$FN$9</definedName>
    <definedName name="_3704_枣庄市">[1]内置数据!$FO$2:$FO$7</definedName>
    <definedName name="_3705_东营市">[1]内置数据!$FP$2:$FP$6</definedName>
    <definedName name="_3706_烟台市">[1]内置数据!$FQ$2:$FQ$12</definedName>
    <definedName name="_3707_潍坊市">[1]内置数据!$FR$2:$FR$13</definedName>
    <definedName name="_3708_济宁市">[1]内置数据!$FS$2:$FS$12</definedName>
    <definedName name="_3709_泰安市">[1]内置数据!$FT$2:$FT$7</definedName>
    <definedName name="_3710_威海市">[1]内置数据!$FU$2:$FU$5</definedName>
    <definedName name="_3711_日照市">[1]内置数据!$FV$2:$FV$5</definedName>
    <definedName name="_3713_临沂市">[1]内置数据!$FW$2:$FW$13</definedName>
    <definedName name="_3714_德州市">[1]内置数据!$FX$2:$FX$12</definedName>
    <definedName name="_3715_聊城市">[1]内置数据!$FY$2:$FY$9</definedName>
    <definedName name="_3716_滨州市">[1]内置数据!$FZ$2:$FZ$8</definedName>
    <definedName name="_3717_菏泽市">[1]内置数据!$GA$2:$GA$10</definedName>
    <definedName name="_41_河南省">[1]内置数据!$R$2:$R$19</definedName>
    <definedName name="_4101_郑州市">[1]内置数据!$GB$2:$GB$13</definedName>
    <definedName name="_4102_开封市">[1]内置数据!$GC$2:$GC$10</definedName>
    <definedName name="_4103_洛阳市">[1]内置数据!$GD$2:$GD$15</definedName>
    <definedName name="_4104_平顶山市">[1]内置数据!$GE$2:$GE$11</definedName>
    <definedName name="_4105_安阳市">[1]内置数据!$GF$2:$GF$10</definedName>
    <definedName name="_4106_鹤壁市">[1]内置数据!$GG$2:$GG$6</definedName>
    <definedName name="_4107_新乡市">[1]内置数据!$GH$2:$GH$13</definedName>
    <definedName name="_4108_焦作市">[1]内置数据!$GI$2:$GI$11</definedName>
    <definedName name="_4109_濮阳市">[1]内置数据!$GJ$2:$GJ$7</definedName>
    <definedName name="_4110_许昌市">[1]内置数据!$GK$2:$GK$7</definedName>
    <definedName name="_4111_漯河市">[1]内置数据!$GL$2:$GL$6</definedName>
    <definedName name="_4112_三门峡市">[1]内置数据!$GM$2:$GM$7</definedName>
    <definedName name="_4113_南阳市">[1]内置数据!$GN$2:$GN$14</definedName>
    <definedName name="_4114_商丘市">[1]内置数据!$GO$2:$GO$10</definedName>
    <definedName name="_4115_信阳市">[1]内置数据!$GP$2:$GP$11</definedName>
    <definedName name="_4116_周口市">[1]内置数据!$GQ$2:$GQ$11</definedName>
    <definedName name="_4117_驻马店市">[1]内置数据!$GR$2:$GR$11</definedName>
    <definedName name="_42_湖北省">[1]内置数据!$S$2:$S$18</definedName>
    <definedName name="_4201_武汉市">[1]内置数据!$GS$2:$GS$14</definedName>
    <definedName name="_4202_黄石市">[1]内置数据!$GT$2:$GT$7</definedName>
    <definedName name="_4203_十堰市">[1]内置数据!$GU$2:$GU$9</definedName>
    <definedName name="_4205_宜昌市">[1]内置数据!$GV$2:$GV$14</definedName>
    <definedName name="_4206_襄阳市">[1]内置数据!$GW$2:$GW$10</definedName>
    <definedName name="_4207_鄂州市">[1]内置数据!$GX$2:$GX$4</definedName>
    <definedName name="_4208_荆门市">[1]内置数据!$GY$2:$GY$6</definedName>
    <definedName name="_4209_孝感市">[1]内置数据!$GZ$2:$GZ$8</definedName>
    <definedName name="_4210_荆州市">[1]内置数据!$HA$2:$HA$9</definedName>
    <definedName name="_4211_黄冈市">[1]内置数据!$HB$2:$HB$11</definedName>
    <definedName name="_4212_咸宁市">[1]内置数据!$HC$2:$HC$7</definedName>
    <definedName name="_4213_随州市">[1]内置数据!$HD$2:$HD$4</definedName>
    <definedName name="_4228_恩施土家族苗族自治州">[1]内置数据!$HE$2:$HE$9</definedName>
    <definedName name="_43_湖南省">[1]内置数据!$T$2:$T$15</definedName>
    <definedName name="_4301_长沙市">[1]内置数据!$HF$2:$HF$10</definedName>
    <definedName name="_4302_株洲市">[1]内置数据!$HG$2:$HG$10</definedName>
    <definedName name="_4303_湘潭市">[1]内置数据!$HH$2:$HH$6</definedName>
    <definedName name="_4304_衡阳市">[1]内置数据!$HI$2:$HI$13</definedName>
    <definedName name="_4305_邵阳市">[1]内置数据!$HJ$2:$HJ$13</definedName>
    <definedName name="_4306_岳阳市">[1]内置数据!$HK$2:$HK$10</definedName>
    <definedName name="_4307_常德市">[1]内置数据!$HL$2:$HL$10</definedName>
    <definedName name="_4308_张家界市">[1]内置数据!$HM$2:$HM$5</definedName>
    <definedName name="_4309_益阳市">[1]内置数据!$HN$2:$HN$7</definedName>
    <definedName name="_4310_郴州市">[1]内置数据!$HO$2:$HO$12</definedName>
    <definedName name="_4311_永州市">[1]内置数据!$HP$2:$HP$12</definedName>
    <definedName name="_4312_怀化市">[1]内置数据!$HQ$2:$HQ$13</definedName>
    <definedName name="_4313_娄底市">[1]内置数据!$HR$2:$HR$6</definedName>
    <definedName name="_4331_湘西土家族苗族自治州">[1]内置数据!$HS$2:$HS$9</definedName>
    <definedName name="_44_广东省">[1]内置数据!$U$2:$U$22</definedName>
    <definedName name="_4401_广州市">[1]内置数据!$HT$2:$HT$12</definedName>
    <definedName name="_4402_韶关市">[1]内置数据!$HU$2:$HU$11</definedName>
    <definedName name="_4403_深圳市">[1]内置数据!$HV$2:$HV$10</definedName>
    <definedName name="_4404_珠海市">[1]内置数据!$HW$2:$HW$4</definedName>
    <definedName name="_4405_汕头市">[1]内置数据!$HX$2:$HX$8</definedName>
    <definedName name="_4406_佛山市">[1]内置数据!$HY$2:$HY$6</definedName>
    <definedName name="_4407_江门市">[1]内置数据!$HZ$2:$HZ$8</definedName>
    <definedName name="_4408_湛江市">[1]内置数据!$IA$2:$IA$10</definedName>
    <definedName name="_4409_茂名市">[1]内置数据!$IB$2:$IB$6</definedName>
    <definedName name="_4412_肇庆市">[1]内置数据!$IC$2:$IC$9</definedName>
    <definedName name="_4413_惠州市">[1]内置数据!$ID$2:$ID$6</definedName>
    <definedName name="_4414_梅州市">[1]内置数据!$IE$2:$IE$9</definedName>
    <definedName name="_4415_汕尾市">[1]内置数据!$IF$2:$IF$5</definedName>
    <definedName name="_4416_河源市">[1]内置数据!$IG$2:$IG$7</definedName>
    <definedName name="_4417_阳江市">[1]内置数据!$IH$2:$IH$5</definedName>
    <definedName name="_4418_清远市">[1]内置数据!$II$2:$II$9</definedName>
    <definedName name="_4451_潮州市">[1]内置数据!$IJ$2:$IJ$4</definedName>
    <definedName name="_4452_揭阳市">[1]内置数据!$IK$2:$IK$6</definedName>
    <definedName name="_4453_云浮市">[1]内置数据!$IL$2:$IL$6</definedName>
    <definedName name="_45_广西壮族自治区">[1]内置数据!$V$2:$V$15</definedName>
    <definedName name="_4501_南宁市">[1]内置数据!$IM$2:$IM$13</definedName>
    <definedName name="_4502_柳州市">[1]内置数据!$IN$2:$IN$11</definedName>
    <definedName name="_4503_桂林市">[1]内置数据!$IO$2:$IO$18</definedName>
    <definedName name="_4504_梧州市">[1]内置数据!$IP$2:$IP$8</definedName>
    <definedName name="_4505_北海市">[1]内置数据!$IQ$2:$IQ$5</definedName>
    <definedName name="_4506_防城港市">[1]内置数据!$IR$2:$IR$5</definedName>
    <definedName name="_4507_钦州市">[1]内置数据!$IS$2:$IS$5</definedName>
    <definedName name="_4508_贵港市">[1]内置数据!$IT$2:$IT$6</definedName>
    <definedName name="_4509_玉林市">[1]内置数据!$IU$2:$IU$8</definedName>
    <definedName name="_4510_百色市">[1]内置数据!$IV$2:$IV$13</definedName>
    <definedName name="_4511_贺州市">[1]内置数据!$IW$2:$IW$6</definedName>
    <definedName name="_4512_河池市">[1]内置数据!$IX$2:$IX$12</definedName>
    <definedName name="_4513_来宾市">[1]内置数据!$IY$2:$IY$7</definedName>
    <definedName name="_4514_崇左市">[1]内置数据!$IZ$2:$IZ$8</definedName>
    <definedName name="_46_海南省">[1]内置数据!$W$2:$W$20</definedName>
    <definedName name="_4601_海口市">[1]内置数据!$JA$2:$JA$5</definedName>
    <definedName name="_4602_三亚市">[1]内置数据!$JB$2:$JB$5</definedName>
    <definedName name="_4603_三沙市">[1]内置数据!$JC$2:$JC$3</definedName>
    <definedName name="_50_重庆市">[1]内置数据!$X$2:$X$39</definedName>
    <definedName name="_51_四川省">[1]内置数据!$Y$2:$Y$22</definedName>
    <definedName name="_5101_成都市">[1]内置数据!$JD$2:$JD$21</definedName>
    <definedName name="_5103_自贡市">[1]内置数据!$JE$2:$JE$7</definedName>
    <definedName name="_5104_攀枝花市">[1]内置数据!$JF$2:$JF$6</definedName>
    <definedName name="_5105_泸州市">[1]内置数据!$JG$2:$JG$8</definedName>
    <definedName name="_5106_德阳市">[1]内置数据!$JH$2:$JH$7</definedName>
    <definedName name="_5107_绵阳市">[1]内置数据!$JI$2:$JI$10</definedName>
    <definedName name="_5108_广元市">[1]内置数据!$JJ$2:$JJ$8</definedName>
    <definedName name="_5109_遂宁市">[1]内置数据!$JK$2:$JK$6</definedName>
    <definedName name="_5110_内江市">[1]内置数据!$JL$2:$JL$6</definedName>
    <definedName name="_5111_乐山市">[1]内置数据!$JM$2:$JM$12</definedName>
    <definedName name="_5113_南充市">[1]内置数据!$JN$2:$JN$10</definedName>
    <definedName name="_5114_眉山市">[1]内置数据!$JO$2:$JO$7</definedName>
    <definedName name="_5115_宜宾市">[1]内置数据!$JP$2:$JP$11</definedName>
    <definedName name="_5116_广安市">[1]内置数据!$JQ$2:$JQ$7</definedName>
    <definedName name="_5117_达州市">[1]内置数据!$JR$2:$JR$8</definedName>
    <definedName name="_5118_雅安市">[1]内置数据!$JS$2:$JS$9</definedName>
    <definedName name="_5119_巴中市">[1]内置数据!$JT$2:$JT$6</definedName>
    <definedName name="_5120_资阳市">[1]内置数据!$JU$2:$JU$4</definedName>
    <definedName name="_5132_阿坝藏族羌族自治州">[1]内置数据!$JV$2:$JV$14</definedName>
    <definedName name="_5133_甘孜藏族自治州">[1]内置数据!$JW$2:$JW$19</definedName>
    <definedName name="_5134_凉山彝族自治州">[1]内置数据!$JX$2:$JX$18</definedName>
    <definedName name="_52_贵州省">[1]内置数据!$Z$2:$Z$10</definedName>
    <definedName name="_5201_贵阳市">[1]内置数据!$JY$2:$JY$11</definedName>
    <definedName name="_5202_六盘水市">[1]内置数据!$JZ$2:$JZ$5</definedName>
    <definedName name="_5203_遵义市">[1]内置数据!$KA$2:$KA$15</definedName>
    <definedName name="_5204_安顺市">[1]内置数据!$KB$2:$KB$7</definedName>
    <definedName name="_5205_毕节市">[1]内置数据!$KC$2:$KC$9</definedName>
    <definedName name="_5206_铜仁市">[1]内置数据!$KD$2:$KD$11</definedName>
    <definedName name="_5223_黔西南布依族苗族自治州">[1]内置数据!$KE$2:$KE$9</definedName>
    <definedName name="_5226_黔东南苗族侗族自治州">[1]内置数据!$KF$2:$KF$17</definedName>
    <definedName name="_5227_黔南布依族苗族自治州">[1]内置数据!$KG$2:$KG$13</definedName>
    <definedName name="_53_云南省">[1]内置数据!$AA$2:$AA$17</definedName>
    <definedName name="_5301_昆明市">[1]内置数据!$KH$2:$KH$15</definedName>
    <definedName name="_5303_曲靖市">[1]内置数据!$KI$2:$KI$10</definedName>
    <definedName name="_5304_玉溪市">[1]内置数据!$KJ$2:$KJ$10</definedName>
    <definedName name="_5305_保山市">[1]内置数据!$KK$2:$KK$6</definedName>
    <definedName name="_5306_昭通市">[1]内置数据!$KL$2:$KL$12</definedName>
    <definedName name="_5307_丽江市">[1]内置数据!$KM$2:$KM$6</definedName>
    <definedName name="_5308_普洱市">[1]内置数据!$KN$2:$KN$11</definedName>
    <definedName name="_5309_临沧市">[1]内置数据!$KO$2:$KO$9</definedName>
    <definedName name="_5323_楚雄彝族自治州">[1]内置数据!$KP$2:$KP$11</definedName>
    <definedName name="_5325_红河哈尼族彝族自治州">[1]内置数据!$KQ$2:$KQ$14</definedName>
    <definedName name="_5326_文山壮族苗族自治州">[1]内置数据!$KR$2:$KR$9</definedName>
    <definedName name="_5328_西双版纳傣族自治州">[1]内置数据!$KS$2:$KS$4</definedName>
    <definedName name="_5329_大理白族自治州">[1]内置数据!$KT$2:$KT$13</definedName>
    <definedName name="_5331_德宏傣族景颇族自治州">[1]内置数据!$KU$2:$KU$6</definedName>
    <definedName name="_5333_怒江傈僳族自治州">[1]内置数据!$KV$2:$KV$5</definedName>
    <definedName name="_5334_迪庆藏族自治州">[1]内置数据!$KW$2:$KW$4</definedName>
    <definedName name="_54_西藏自治区">[1]内置数据!$AB$2:$AB$8</definedName>
    <definedName name="_5401_拉萨市">[1]内置数据!$KX$2:$KX$9</definedName>
    <definedName name="_5402_日喀则市">[1]内置数据!$KY$2:$KY$19</definedName>
    <definedName name="_5403_昌都市">[1]内置数据!$KZ$2:$KZ$12</definedName>
    <definedName name="_5404_林芝市">[1]内置数据!$LA$2:$LA$8</definedName>
    <definedName name="_5405_山南市">[1]内置数据!$LB$2:$LB$13</definedName>
    <definedName name="_5406_那曲市">[1]内置数据!$LC$2:$LC$12</definedName>
    <definedName name="_5425_阿里地区">[1]内置数据!$LD$2:$LD$8</definedName>
    <definedName name="_61_陕西省">[1]内置数据!$AC$2:$AC$12</definedName>
    <definedName name="_6101_西安市">[1]内置数据!$LE$2:$LE$14</definedName>
    <definedName name="_6102_铜川市">[1]内置数据!$LF$2:$LF$5</definedName>
    <definedName name="_6103_宝鸡市">[1]内置数据!$LG$2:$LG$13</definedName>
    <definedName name="_6104_咸阳市">[1]内置数据!$LH$2:$LH$14</definedName>
    <definedName name="_6105_渭南市">[1]内置数据!$LI$2:$LI$12</definedName>
    <definedName name="_6106_延安市">[1]内置数据!$LJ$2:$LJ$14</definedName>
    <definedName name="_6107_汉中市">[1]内置数据!$LK$2:$LK$12</definedName>
    <definedName name="_6108_榆林市">[1]内置数据!$LL$2:$LL$13</definedName>
    <definedName name="_6109_安康市">[1]内置数据!$LM$2:$LM$11</definedName>
    <definedName name="_6110_商洛市">[1]内置数据!$LN$2:$LN$8</definedName>
    <definedName name="_6111_杨凌示范区本级">[1]内置数据!$LO$2</definedName>
    <definedName name="_62_甘肃省">[1]内置数据!$AD$2:$AD$15</definedName>
    <definedName name="_6201_兰州市">[1]内置数据!$LP$2:$LP$9</definedName>
    <definedName name="_6203_金昌市">[1]内置数据!$LQ$2:$LQ$3</definedName>
    <definedName name="_6204_白银市">[1]内置数据!$LR$2:$LR$6</definedName>
    <definedName name="_6205_天水市">[1]内置数据!$LS$2:$LS$8</definedName>
    <definedName name="_6206_武威市">[1]内置数据!$LT$2:$LT$5</definedName>
    <definedName name="_6207_张掖市">[1]内置数据!$LU$2:$LU$7</definedName>
    <definedName name="_6208_平凉市">[1]内置数据!$LV$2:$LV$8</definedName>
    <definedName name="_6209_酒泉市">[1]内置数据!$LW$2:$LW$8</definedName>
    <definedName name="_6210_庆阳市">[1]内置数据!$LX$2:$LX$9</definedName>
    <definedName name="_6211_定西市">[1]内置数据!$LY$2:$LY$8</definedName>
    <definedName name="_6212_陇南市">[1]内置数据!$LZ$2:$LZ$10</definedName>
    <definedName name="_6229_临夏回族自治州">[1]内置数据!$MA$2:$MA$9</definedName>
    <definedName name="_6230_甘南藏族自治州">[1]内置数据!$MB$2:$MB$9</definedName>
    <definedName name="_63_青海省">[1]内置数据!$AE$2:$AE$9</definedName>
    <definedName name="_6301_西宁市">[1]内置数据!$MC$2:$MC$8</definedName>
    <definedName name="_6302_海东市">[1]内置数据!$MD$2:$MD$7</definedName>
    <definedName name="_6322_海北藏族自治州">[1]内置数据!$ME$2:$ME$5</definedName>
    <definedName name="_6323_黄南藏族自治州">[1]内置数据!$MF$2:$MF$5</definedName>
    <definedName name="_6325_海南藏族自治州">[1]内置数据!$MG$2:$MG$6</definedName>
    <definedName name="_6326_果洛藏族自治州">[1]内置数据!$MH$2:$MH$7</definedName>
    <definedName name="_6327_玉树藏族自治州">[1]内置数据!$MI$2:$MI$7</definedName>
    <definedName name="_6328_海西蒙古族藏族自治州">[1]内置数据!$MJ$2:$MJ$8</definedName>
    <definedName name="_64_宁夏回族自治区">[1]内置数据!$AF$2:$AF$6</definedName>
    <definedName name="_6401_银川市">[1]内置数据!$MK$2:$MK$7</definedName>
    <definedName name="_6402_石嘴山市">[1]内置数据!$ML$2:$ML$4</definedName>
    <definedName name="_6403_吴忠市">[1]内置数据!$MM$2:$MM$6</definedName>
    <definedName name="_6404_固原市">[1]内置数据!$MN$2:$MN$6</definedName>
    <definedName name="_6405_中卫市">[1]内置数据!$MO$2:$MO$4</definedName>
    <definedName name="_65_新疆维吾尔自治区">[1]内置数据!$AG$2:$AG$15</definedName>
    <definedName name="_6501_乌鲁木齐市">[1]内置数据!$MP$2:$MP$9</definedName>
    <definedName name="_6502_克拉玛依市">[1]内置数据!$MQ$2:$MQ$5</definedName>
    <definedName name="_6504_吐鲁番市">[1]内置数据!$MR$2:$MR$4</definedName>
    <definedName name="_6505_哈密市">[1]内置数据!$MS$2:$MS$4</definedName>
    <definedName name="_6523_昌吉回族自治州">[1]内置数据!$MT$2:$MT$8</definedName>
    <definedName name="_6527_博尔塔拉蒙古自治州">[1]内置数据!$MU$2:$MU$5</definedName>
    <definedName name="_6528_巴音郭楞蒙古自治州">[1]内置数据!$MV$2:$MV$10</definedName>
    <definedName name="_6529_阿克苏地区">[1]内置数据!$MW$2:$MW$10</definedName>
    <definedName name="_6530_克孜勒苏柯尔克孜自治州">[1]内置数据!$MX$2:$MX$5</definedName>
    <definedName name="_6531_喀什地区">[1]内置数据!$MY$2:$MY$13</definedName>
    <definedName name="_6532_和田地区">[1]内置数据!$MZ$2:$MZ$9</definedName>
    <definedName name="_6540_伊犁哈萨克自治州">[1]内置数据!$NA$2:$NA$12</definedName>
    <definedName name="_6542_塔城地区">[1]内置数据!$NB$2:$NB$8</definedName>
    <definedName name="_6543_阿勒泰地区">[1]内置数据!$NC$2:$NC$8</definedName>
    <definedName name="_66_新疆生产建设兵团">[1]内置数据!$AH$2:$AH$13</definedName>
    <definedName name="_xlnm.Print_Titles" localSheetId="1">'2026总表'!$1:$4</definedName>
    <definedName name="省级">[1]内置数据!$B$2:$B$33</definedName>
    <definedName name="_xlnm.Print_Titles" localSheetId="0">'2026简表'!$1:$4</definedName>
    <definedName name="_xlnm.Print_Titles" localSheetId="4">'总表 (带公式)'!$1:$4</definedName>
    <definedName name="_xlnm.Print_Titles" localSheetId="3">'总表 (2)'!$1:$4</definedName>
    <definedName name="_xlnm.Print_Titles" localSheetId="2">'2025表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<sst xmlns="http://schemas.openxmlformats.org/spreadsheetml/2006/main" count="487" uniqueCount="132">
  <si>
    <t>2026年一般公共预算支出经济分类表</t>
  </si>
  <si>
    <t>单位:万元</t>
  </si>
  <si>
    <t>项目</t>
  </si>
  <si>
    <t>总计</t>
  </si>
  <si>
    <t>科目
编码</t>
  </si>
  <si>
    <t>科目名称</t>
  </si>
  <si>
    <t>机关工资福利支出</t>
  </si>
  <si>
    <t>机关商品和服务支出</t>
  </si>
  <si>
    <t>机关资本性支出</t>
  </si>
  <si>
    <t>机关资本性支出（基本建设）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</si>
  <si>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</si>
  <si>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</si>
  <si>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</si>
  <si>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</si>
  <si>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</si>
  <si>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</si>
  <si>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</si>
  <si>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</si>
  <si>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</si>
  <si>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预备费及预留</t>
  </si>
  <si>
    <t>其他支出</t>
  </si>
  <si>
    <t>201</t>
  </si>
  <si>
    <t>一般公共服务支出</t>
  </si>
  <si>
    <t>202</t>
  </si>
  <si>
    <t>外交支出</t>
  </si>
  <si>
    <t>203</t>
  </si>
  <si>
    <t>国防支出</t>
  </si>
  <si>
    <t>204</t>
  </si>
  <si>
    <t>公共安全支出</t>
  </si>
  <si>
    <t>205</t>
  </si>
  <si>
    <t>教育支出</t>
  </si>
  <si>
    <t>206</t>
  </si>
  <si>
    <t>科学技术支出</t>
  </si>
  <si>
    <t>207</t>
  </si>
  <si>
    <t>文化旅游体育与传媒支出</t>
  </si>
  <si>
    <t>208</t>
  </si>
  <si>
    <t>社会保障和就业支出</t>
  </si>
  <si>
    <t>210</t>
  </si>
  <si>
    <t>卫生健康支出</t>
  </si>
  <si>
    <t>211</t>
  </si>
  <si>
    <t>节能环保支出</t>
  </si>
  <si>
    <t>212</t>
  </si>
  <si>
    <t>城乡社区支出</t>
  </si>
  <si>
    <t>213</t>
  </si>
  <si>
    <t>农林水支出</t>
  </si>
  <si>
    <t>214</t>
  </si>
  <si>
    <t>交通运输支出</t>
  </si>
  <si>
    <t>215</t>
  </si>
  <si>
    <t>资源勘探工业信息等支出</t>
  </si>
  <si>
    <t>216</t>
  </si>
  <si>
    <t>商业服务业等支出</t>
  </si>
  <si>
    <t>217</t>
  </si>
  <si>
    <t>金融支出</t>
  </si>
  <si>
    <t>219</t>
  </si>
  <si>
    <t>援助其他地区支出</t>
  </si>
  <si>
    <t>220</t>
  </si>
  <si>
    <t>自然资源海洋气象等支出</t>
  </si>
  <si>
    <t>221</t>
  </si>
  <si>
    <t>住房保障支出</t>
  </si>
  <si>
    <t>222</t>
  </si>
  <si>
    <t>粮油物资储备支出</t>
  </si>
  <si>
    <t>224</t>
  </si>
  <si>
    <t>灾害防治及应急管理支出</t>
  </si>
  <si>
    <t>227</t>
  </si>
  <si>
    <t>预备费</t>
  </si>
  <si>
    <t>229</t>
  </si>
  <si>
    <t>232</t>
  </si>
  <si>
    <t>债务付息支出</t>
  </si>
  <si>
    <t>233</t>
  </si>
  <si>
    <t>债务发行费用支出</t>
  </si>
  <si>
    <t>230</t>
  </si>
  <si>
    <t>231</t>
  </si>
  <si>
    <t>支出总计</t>
  </si>
  <si>
    <r>
      <rPr>
        <sz val="18"/>
        <rFont val="Times New Roman"/>
        <charset val="134"/>
      </rPr>
      <t>2026</t>
    </r>
    <r>
      <rPr>
        <sz val="18"/>
        <rFont val="宋体"/>
        <charset val="134"/>
      </rPr>
      <t>年一般公共预算基本支出安排情况表</t>
    </r>
  </si>
  <si>
    <t>代码</t>
  </si>
  <si>
    <t>名称</t>
  </si>
  <si>
    <t>机关资本性支出（一）</t>
  </si>
  <si>
    <t>机关资本性支出（二）</t>
  </si>
  <si>
    <t>50101工资奖金津补贴</t>
  </si>
  <si>
    <r>
      <rPr>
        <sz val="16"/>
        <rFont val="Times New Roman"/>
        <charset val="134"/>
      </rPr>
      <t>50102</t>
    </r>
    <r>
      <rPr>
        <sz val="16"/>
        <rFont val="宋体"/>
        <charset val="134"/>
      </rPr>
      <t>社会保障缴费</t>
    </r>
  </si>
  <si>
    <r>
      <rPr>
        <sz val="16"/>
        <rFont val="Times New Roman"/>
        <charset val="134"/>
      </rPr>
      <t>50103</t>
    </r>
    <r>
      <rPr>
        <sz val="16"/>
        <rFont val="宋体"/>
        <charset val="134"/>
      </rPr>
      <t>住房公积金</t>
    </r>
  </si>
  <si>
    <r>
      <rPr>
        <sz val="16"/>
        <rFont val="Times New Roman"/>
        <charset val="134"/>
      </rPr>
      <t>50199</t>
    </r>
    <r>
      <rPr>
        <sz val="16"/>
        <rFont val="宋体"/>
        <charset val="134"/>
      </rPr>
      <t>其他工资福利支出</t>
    </r>
  </si>
  <si>
    <r>
      <rPr>
        <sz val="16"/>
        <rFont val="Times New Roman"/>
        <charset val="134"/>
      </rPr>
      <t>50201</t>
    </r>
    <r>
      <rPr>
        <sz val="16"/>
        <rFont val="宋体"/>
        <charset val="134"/>
      </rPr>
      <t>办公经费</t>
    </r>
  </si>
  <si>
    <r>
      <rPr>
        <sz val="16"/>
        <rFont val="Times New Roman"/>
        <charset val="134"/>
      </rPr>
      <t>50202</t>
    </r>
    <r>
      <rPr>
        <sz val="16"/>
        <rFont val="宋体"/>
        <charset val="134"/>
      </rPr>
      <t>会议费</t>
    </r>
  </si>
  <si>
    <r>
      <rPr>
        <sz val="16"/>
        <rFont val="Times New Roman"/>
        <charset val="134"/>
      </rPr>
      <t>50203</t>
    </r>
    <r>
      <rPr>
        <sz val="16"/>
        <rFont val="宋体"/>
        <charset val="134"/>
      </rPr>
      <t>培训费</t>
    </r>
  </si>
  <si>
    <r>
      <rPr>
        <sz val="16"/>
        <rFont val="Times New Roman"/>
        <charset val="134"/>
      </rPr>
      <t>50204</t>
    </r>
    <r>
      <rPr>
        <sz val="16"/>
        <rFont val="宋体"/>
        <charset val="134"/>
      </rPr>
      <t>专用材料购置费</t>
    </r>
  </si>
  <si>
    <r>
      <rPr>
        <sz val="16"/>
        <rFont val="Times New Roman"/>
        <charset val="134"/>
      </rPr>
      <t>50205</t>
    </r>
    <r>
      <rPr>
        <sz val="16"/>
        <rFont val="宋体"/>
        <charset val="134"/>
      </rPr>
      <t>委托业务费</t>
    </r>
  </si>
  <si>
    <r>
      <rPr>
        <sz val="16"/>
        <rFont val="Times New Roman"/>
        <charset val="134"/>
      </rPr>
      <t>50206</t>
    </r>
    <r>
      <rPr>
        <sz val="16"/>
        <rFont val="宋体"/>
        <charset val="134"/>
      </rPr>
      <t>公务接待费</t>
    </r>
  </si>
  <si>
    <r>
      <rPr>
        <sz val="16"/>
        <rFont val="Times New Roman"/>
        <charset val="134"/>
      </rPr>
      <t>50207</t>
    </r>
    <r>
      <rPr>
        <sz val="16"/>
        <rFont val="宋体"/>
        <charset val="134"/>
      </rPr>
      <t>因公出国（境）费用</t>
    </r>
  </si>
  <si>
    <r>
      <rPr>
        <sz val="16"/>
        <rFont val="Times New Roman"/>
        <charset val="134"/>
      </rPr>
      <t>50208</t>
    </r>
    <r>
      <rPr>
        <sz val="16"/>
        <rFont val="宋体"/>
        <charset val="134"/>
      </rPr>
      <t>公务用车运行维护费</t>
    </r>
  </si>
  <si>
    <r>
      <rPr>
        <sz val="16"/>
        <rFont val="Times New Roman"/>
        <charset val="134"/>
      </rPr>
      <t>50209</t>
    </r>
    <r>
      <rPr>
        <sz val="16"/>
        <rFont val="宋体"/>
        <charset val="134"/>
      </rPr>
      <t>维（护）费</t>
    </r>
  </si>
  <si>
    <r>
      <rPr>
        <sz val="16"/>
        <rFont val="Times New Roman"/>
        <charset val="134"/>
      </rPr>
      <t>50299</t>
    </r>
    <r>
      <rPr>
        <sz val="16"/>
        <rFont val="宋体"/>
        <charset val="134"/>
      </rPr>
      <t>其他商品和服务支出</t>
    </r>
  </si>
  <si>
    <r>
      <rPr>
        <sz val="16"/>
        <rFont val="Times New Roman"/>
        <charset val="134"/>
      </rPr>
      <t>50301</t>
    </r>
    <r>
      <rPr>
        <sz val="16"/>
        <rFont val="宋体"/>
        <charset val="134"/>
      </rPr>
      <t>房屋建筑物构建</t>
    </r>
  </si>
  <si>
    <r>
      <rPr>
        <sz val="16"/>
        <rFont val="Times New Roman"/>
        <charset val="134"/>
      </rPr>
      <t>50302</t>
    </r>
    <r>
      <rPr>
        <sz val="16"/>
        <rFont val="宋体"/>
        <charset val="134"/>
      </rPr>
      <t>基础设施建设</t>
    </r>
  </si>
  <si>
    <r>
      <rPr>
        <sz val="16"/>
        <rFont val="Times New Roman"/>
        <charset val="134"/>
      </rPr>
      <t>50303</t>
    </r>
    <r>
      <rPr>
        <sz val="16"/>
        <rFont val="宋体"/>
        <charset val="134"/>
      </rPr>
      <t>公务用车购置</t>
    </r>
  </si>
  <si>
    <r>
      <rPr>
        <sz val="16"/>
        <rFont val="Times New Roman"/>
        <charset val="134"/>
      </rPr>
      <t>50306</t>
    </r>
    <r>
      <rPr>
        <sz val="16"/>
        <rFont val="宋体"/>
        <charset val="134"/>
      </rPr>
      <t>设备购置</t>
    </r>
  </si>
  <si>
    <r>
      <rPr>
        <sz val="16"/>
        <rFont val="Times New Roman"/>
        <charset val="134"/>
      </rPr>
      <t>50307</t>
    </r>
    <r>
      <rPr>
        <sz val="16"/>
        <rFont val="宋体"/>
        <charset val="134"/>
      </rPr>
      <t>大型修缮</t>
    </r>
  </si>
  <si>
    <r>
      <rPr>
        <sz val="16"/>
        <rFont val="Times New Roman"/>
        <charset val="134"/>
      </rPr>
      <t>50399</t>
    </r>
    <r>
      <rPr>
        <sz val="16"/>
        <rFont val="宋体"/>
        <charset val="134"/>
      </rPr>
      <t>其他资本性支出</t>
    </r>
  </si>
  <si>
    <r>
      <rPr>
        <sz val="16"/>
        <rFont val="Times New Roman"/>
        <charset val="134"/>
      </rPr>
      <t>50501</t>
    </r>
    <r>
      <rPr>
        <sz val="16"/>
        <rFont val="宋体"/>
        <charset val="134"/>
      </rPr>
      <t>工资福利支出</t>
    </r>
  </si>
  <si>
    <r>
      <rPr>
        <sz val="16"/>
        <rFont val="Times New Roman"/>
        <charset val="134"/>
      </rPr>
      <t>50502</t>
    </r>
    <r>
      <rPr>
        <sz val="16"/>
        <rFont val="宋体"/>
        <charset val="134"/>
      </rPr>
      <t>商品和服务支出</t>
    </r>
  </si>
  <si>
    <t>50601资本性支出（一）</t>
  </si>
  <si>
    <r>
      <rPr>
        <sz val="16"/>
        <rFont val="Times New Roman"/>
        <charset val="134"/>
      </rPr>
      <t>50901</t>
    </r>
    <r>
      <rPr>
        <sz val="16"/>
        <rFont val="宋体"/>
        <charset val="134"/>
      </rPr>
      <t>社会福利和救助</t>
    </r>
  </si>
  <si>
    <r>
      <rPr>
        <sz val="16"/>
        <rFont val="Times New Roman"/>
        <charset val="134"/>
      </rPr>
      <t>50905</t>
    </r>
    <r>
      <rPr>
        <sz val="16"/>
        <rFont val="宋体"/>
        <charset val="134"/>
      </rPr>
      <t>离退休费</t>
    </r>
  </si>
  <si>
    <r>
      <rPr>
        <sz val="16"/>
        <rFont val="Times New Roman"/>
        <charset val="134"/>
      </rPr>
      <t>50999</t>
    </r>
    <r>
      <rPr>
        <sz val="16"/>
        <rFont val="宋体"/>
        <charset val="134"/>
      </rPr>
      <t>其他对个人和家庭补助</t>
    </r>
  </si>
  <si>
    <t>502的</t>
  </si>
  <si>
    <t xml:space="preserve">501的 </t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</si>
  <si>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年珠山区一般公共预算支出经济分类表</t>
    </r>
  </si>
  <si>
    <r>
      <rPr>
        <sz val="11"/>
        <rFont val="Times New Roman"/>
        <charset val="134"/>
      </rPr>
      <t>50102</t>
    </r>
    <r>
      <rPr>
        <sz val="11"/>
        <rFont val="宋体"/>
        <charset val="134"/>
      </rPr>
      <t>社会保障缴费</t>
    </r>
  </si>
  <si>
    <r>
      <rPr>
        <sz val="11"/>
        <rFont val="Times New Roman"/>
        <charset val="134"/>
      </rPr>
      <t>50103</t>
    </r>
    <r>
      <rPr>
        <sz val="11"/>
        <rFont val="宋体"/>
        <charset val="134"/>
      </rPr>
      <t>住房公积金</t>
    </r>
  </si>
  <si>
    <r>
      <rPr>
        <sz val="11"/>
        <rFont val="Times New Roman"/>
        <charset val="134"/>
      </rPr>
      <t>50199</t>
    </r>
    <r>
      <rPr>
        <sz val="11"/>
        <rFont val="宋体"/>
        <charset val="134"/>
      </rPr>
      <t>其他工资福利支出</t>
    </r>
  </si>
  <si>
    <r>
      <rPr>
        <sz val="11"/>
        <rFont val="Times New Roman"/>
        <charset val="134"/>
      </rPr>
      <t>50201</t>
    </r>
    <r>
      <rPr>
        <sz val="11"/>
        <rFont val="宋体"/>
        <charset val="134"/>
      </rPr>
      <t>办公经费</t>
    </r>
  </si>
  <si>
    <r>
      <rPr>
        <sz val="11"/>
        <rFont val="Times New Roman"/>
        <charset val="134"/>
      </rPr>
      <t>50202</t>
    </r>
    <r>
      <rPr>
        <sz val="11"/>
        <rFont val="宋体"/>
        <charset val="134"/>
      </rPr>
      <t>会议费</t>
    </r>
  </si>
  <si>
    <r>
      <rPr>
        <sz val="11"/>
        <rFont val="Times New Roman"/>
        <charset val="134"/>
      </rPr>
      <t>50203</t>
    </r>
    <r>
      <rPr>
        <sz val="11"/>
        <rFont val="宋体"/>
        <charset val="134"/>
      </rPr>
      <t>培训费</t>
    </r>
  </si>
  <si>
    <r>
      <rPr>
        <sz val="11"/>
        <rFont val="Times New Roman"/>
        <charset val="134"/>
      </rPr>
      <t>50204</t>
    </r>
    <r>
      <rPr>
        <sz val="11"/>
        <rFont val="宋体"/>
        <charset val="134"/>
      </rPr>
      <t>专用材料购置费</t>
    </r>
  </si>
  <si>
    <r>
      <rPr>
        <sz val="11"/>
        <rFont val="Times New Roman"/>
        <charset val="134"/>
      </rPr>
      <t>50205</t>
    </r>
    <r>
      <rPr>
        <sz val="11"/>
        <rFont val="宋体"/>
        <charset val="134"/>
      </rPr>
      <t>委托业务费</t>
    </r>
  </si>
  <si>
    <r>
      <rPr>
        <sz val="11"/>
        <rFont val="Times New Roman"/>
        <charset val="134"/>
      </rPr>
      <t>50206</t>
    </r>
    <r>
      <rPr>
        <sz val="11"/>
        <rFont val="宋体"/>
        <charset val="134"/>
      </rPr>
      <t>公务接待费</t>
    </r>
  </si>
  <si>
    <r>
      <rPr>
        <sz val="11"/>
        <rFont val="Times New Roman"/>
        <charset val="134"/>
      </rPr>
      <t>50207</t>
    </r>
    <r>
      <rPr>
        <sz val="11"/>
        <rFont val="宋体"/>
        <charset val="134"/>
      </rPr>
      <t>因公出国（境）费用</t>
    </r>
  </si>
  <si>
    <r>
      <rPr>
        <sz val="11"/>
        <rFont val="Times New Roman"/>
        <charset val="134"/>
      </rPr>
      <t>50208</t>
    </r>
    <r>
      <rPr>
        <sz val="11"/>
        <rFont val="宋体"/>
        <charset val="134"/>
      </rPr>
      <t>公务用车运行维护费</t>
    </r>
  </si>
  <si>
    <r>
      <rPr>
        <sz val="11"/>
        <rFont val="Times New Roman"/>
        <charset val="134"/>
      </rPr>
      <t>50209</t>
    </r>
    <r>
      <rPr>
        <sz val="11"/>
        <rFont val="宋体"/>
        <charset val="134"/>
      </rPr>
      <t>维（护）费</t>
    </r>
  </si>
  <si>
    <r>
      <rPr>
        <sz val="11"/>
        <rFont val="Times New Roman"/>
        <charset val="134"/>
      </rPr>
      <t>50299</t>
    </r>
    <r>
      <rPr>
        <sz val="11"/>
        <rFont val="宋体"/>
        <charset val="134"/>
      </rPr>
      <t>其他商品和服务支出</t>
    </r>
  </si>
  <si>
    <r>
      <rPr>
        <sz val="11"/>
        <rFont val="Times New Roman"/>
        <charset val="134"/>
      </rPr>
      <t>50301</t>
    </r>
    <r>
      <rPr>
        <sz val="11"/>
        <rFont val="宋体"/>
        <charset val="134"/>
      </rPr>
      <t>房屋建筑物构建</t>
    </r>
  </si>
  <si>
    <r>
      <rPr>
        <sz val="11"/>
        <rFont val="Times New Roman"/>
        <charset val="134"/>
      </rPr>
      <t>50302</t>
    </r>
    <r>
      <rPr>
        <sz val="11"/>
        <rFont val="宋体"/>
        <charset val="134"/>
      </rPr>
      <t>基础设施建设</t>
    </r>
  </si>
  <si>
    <r>
      <rPr>
        <sz val="11"/>
        <rFont val="Times New Roman"/>
        <charset val="134"/>
      </rPr>
      <t>50303</t>
    </r>
    <r>
      <rPr>
        <sz val="11"/>
        <rFont val="宋体"/>
        <charset val="134"/>
      </rPr>
      <t>公务用车购置</t>
    </r>
  </si>
  <si>
    <r>
      <rPr>
        <sz val="11"/>
        <rFont val="Times New Roman"/>
        <charset val="134"/>
      </rPr>
      <t>50306</t>
    </r>
    <r>
      <rPr>
        <sz val="11"/>
        <rFont val="宋体"/>
        <charset val="134"/>
      </rPr>
      <t>设备购置</t>
    </r>
  </si>
  <si>
    <r>
      <rPr>
        <sz val="11"/>
        <rFont val="Times New Roman"/>
        <charset val="134"/>
      </rPr>
      <t>50307</t>
    </r>
    <r>
      <rPr>
        <sz val="11"/>
        <rFont val="宋体"/>
        <charset val="134"/>
      </rPr>
      <t>大型修缮</t>
    </r>
  </si>
  <si>
    <r>
      <rPr>
        <sz val="11"/>
        <rFont val="Times New Roman"/>
        <charset val="134"/>
      </rPr>
      <t>50399</t>
    </r>
    <r>
      <rPr>
        <sz val="11"/>
        <rFont val="宋体"/>
        <charset val="134"/>
      </rPr>
      <t>其他资本性支出</t>
    </r>
  </si>
  <si>
    <r>
      <rPr>
        <sz val="11"/>
        <rFont val="Times New Roman"/>
        <charset val="134"/>
      </rPr>
      <t>50501</t>
    </r>
    <r>
      <rPr>
        <sz val="11"/>
        <rFont val="宋体"/>
        <charset val="134"/>
      </rPr>
      <t>工资福利支出</t>
    </r>
  </si>
  <si>
    <r>
      <rPr>
        <sz val="11"/>
        <rFont val="Times New Roman"/>
        <charset val="134"/>
      </rPr>
      <t>50502</t>
    </r>
    <r>
      <rPr>
        <sz val="11"/>
        <rFont val="宋体"/>
        <charset val="134"/>
      </rPr>
      <t>商品和服务支出</t>
    </r>
  </si>
  <si>
    <r>
      <rPr>
        <sz val="11"/>
        <rFont val="Times New Roman"/>
        <charset val="134"/>
      </rPr>
      <t>50901</t>
    </r>
    <r>
      <rPr>
        <sz val="11"/>
        <rFont val="宋体"/>
        <charset val="134"/>
      </rPr>
      <t>社会福利和救助</t>
    </r>
  </si>
  <si>
    <r>
      <rPr>
        <sz val="11"/>
        <rFont val="Times New Roman"/>
        <charset val="134"/>
      </rPr>
      <t>50905</t>
    </r>
    <r>
      <rPr>
        <sz val="11"/>
        <rFont val="宋体"/>
        <charset val="134"/>
      </rPr>
      <t>离退休费</t>
    </r>
  </si>
  <si>
    <r>
      <rPr>
        <sz val="11"/>
        <rFont val="Times New Roman"/>
        <charset val="134"/>
      </rPr>
      <t>50999</t>
    </r>
    <r>
      <rPr>
        <sz val="11"/>
        <rFont val="宋体"/>
        <charset val="134"/>
      </rPr>
      <t>其他对个人和家庭补助</t>
    </r>
  </si>
  <si>
    <t>部门预算数字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</si>
</sst>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;"/>
    <numFmt numFmtId="177" formatCode="0_ "/>
    <numFmt numFmtId="178" formatCode="0.00_ "/>
  </numFmts>
  <fonts count="47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8"/>
      <name val="Times New Roman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FF0000"/>
      <name val="Times New Roman"/>
      <charset val="134"/>
    </font>
    <font>
      <sz val="11"/>
      <color indexed="0"/>
      <name val="Times New Roman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6"/>
      <name val="黑体"/>
      <charset val="134"/>
    </font>
    <font>
      <sz val="16"/>
      <name val="Times New Roman"/>
      <charset val="134"/>
    </font>
    <font>
      <sz val="16"/>
      <name val="宋体"/>
      <charset val="134"/>
    </font>
    <font>
      <sz val="16"/>
      <name val="仿宋_GB2312"/>
      <charset val="134"/>
    </font>
    <font>
      <b/>
      <sz val="16"/>
      <name val="仿宋_GB2312"/>
      <charset val="134"/>
    </font>
    <font>
      <b/>
      <sz val="16"/>
      <name val="Times New Roman"/>
      <charset val="134"/>
    </font>
    <font>
      <sz val="14"/>
      <name val="方正小标宋简体"/>
      <charset val="134"/>
    </font>
    <font>
      <sz val="14"/>
      <color rgb="FFFF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宋体"/>
      <charset val="134"/>
    </font>
    <font>
      <sz val="18"/>
      <name val="方正小标宋简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gray0625">
        <bgColor theme="0" tint="-0.14996795556505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gray0625">
        <bgColor theme="0" tint="-0.14993743705557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9" borderId="11" applyNumberFormat="0" applyAlignment="0" applyProtection="0">
      <alignment vertical="center"/>
    </xf>
    <xf numFmtId="0" fontId="34" fillId="10" borderId="12" applyNumberFormat="0" applyAlignment="0" applyProtection="0">
      <alignment vertical="center"/>
    </xf>
    <xf numFmtId="0" fontId="35" fillId="10" borderId="11" applyNumberFormat="0" applyAlignment="0" applyProtection="0">
      <alignment vertical="center"/>
    </xf>
    <xf numFmtId="0" fontId="36" fillId="11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4" fillId="0" borderId="0"/>
  </cellStyleXfs>
  <cellXfs count="103">
    <xf numFmtId="0" fontId="0" fillId="0" borderId="0" xfId="0">
      <alignment vertical="center"/>
    </xf>
    <xf numFmtId="0" fontId="1" fillId="2" borderId="0" xfId="49" applyFont="1" applyFill="1" applyAlignment="1">
      <alignment vertical="center"/>
    </xf>
    <xf numFmtId="0" fontId="2" fillId="2" borderId="0" xfId="49" applyFont="1" applyFill="1" applyAlignment="1">
      <alignment vertical="center"/>
    </xf>
    <xf numFmtId="0" fontId="3" fillId="2" borderId="0" xfId="49" applyFont="1" applyFill="1" applyAlignment="1">
      <alignment vertical="center"/>
    </xf>
    <xf numFmtId="0" fontId="4" fillId="2" borderId="0" xfId="49" applyFont="1" applyFill="1" applyAlignment="1">
      <alignment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right" vertical="center"/>
    </xf>
    <xf numFmtId="0" fontId="4" fillId="2" borderId="1" xfId="49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49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 wrapText="1"/>
    </xf>
    <xf numFmtId="0" fontId="7" fillId="2" borderId="4" xfId="49" applyFont="1" applyFill="1" applyBorder="1" applyAlignment="1">
      <alignment horizontal="center" vertical="center" wrapText="1"/>
    </xf>
    <xf numFmtId="0" fontId="7" fillId="2" borderId="5" xfId="49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7" fillId="2" borderId="7" xfId="49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7" xfId="49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6" fillId="2" borderId="1" xfId="49" applyFont="1" applyFill="1" applyBorder="1" applyAlignment="1">
      <alignment vertical="center"/>
    </xf>
    <xf numFmtId="176" fontId="7" fillId="3" borderId="1" xfId="49" applyNumberFormat="1" applyFont="1" applyFill="1" applyBorder="1" applyAlignment="1">
      <alignment vertical="center" shrinkToFit="1"/>
    </xf>
    <xf numFmtId="176" fontId="7" fillId="2" borderId="1" xfId="49" applyNumberFormat="1" applyFont="1" applyFill="1" applyBorder="1" applyAlignment="1" applyProtection="1">
      <alignment vertical="center" shrinkToFit="1"/>
      <protection locked="0"/>
    </xf>
    <xf numFmtId="176" fontId="7" fillId="4" borderId="1" xfId="0" applyNumberFormat="1" applyFont="1" applyFill="1" applyBorder="1" applyAlignment="1">
      <alignment vertical="center" shrinkToFit="1"/>
    </xf>
    <xf numFmtId="177" fontId="6" fillId="2" borderId="1" xfId="49" applyNumberFormat="1" applyFont="1" applyFill="1" applyBorder="1" applyAlignment="1">
      <alignment vertical="center"/>
    </xf>
    <xf numFmtId="0" fontId="6" fillId="2" borderId="1" xfId="49" applyFont="1" applyFill="1" applyBorder="1" applyAlignment="1">
      <alignment horizontal="left" vertical="center"/>
    </xf>
    <xf numFmtId="176" fontId="7" fillId="5" borderId="1" xfId="49" applyNumberFormat="1" applyFont="1" applyFill="1" applyBorder="1" applyAlignment="1">
      <alignment vertical="center" shrinkToFit="1"/>
    </xf>
    <xf numFmtId="177" fontId="7" fillId="2" borderId="1" xfId="49" applyNumberFormat="1" applyFont="1" applyFill="1" applyBorder="1" applyAlignment="1">
      <alignment vertical="center"/>
    </xf>
    <xf numFmtId="176" fontId="7" fillId="2" borderId="1" xfId="49" applyNumberFormat="1" applyFont="1" applyFill="1" applyBorder="1" applyAlignment="1">
      <alignment vertical="center" shrinkToFit="1"/>
    </xf>
    <xf numFmtId="176" fontId="9" fillId="2" borderId="1" xfId="49" applyNumberFormat="1" applyFont="1" applyFill="1" applyBorder="1" applyAlignment="1">
      <alignment vertical="center" shrinkToFit="1"/>
    </xf>
    <xf numFmtId="176" fontId="10" fillId="2" borderId="1" xfId="49" applyNumberFormat="1" applyFont="1" applyFill="1" applyBorder="1" applyAlignment="1">
      <alignment vertical="center" shrinkToFit="1"/>
    </xf>
    <xf numFmtId="0" fontId="11" fillId="2" borderId="1" xfId="49" applyFont="1" applyFill="1" applyBorder="1" applyAlignment="1">
      <alignment horizontal="distributed" vertical="center"/>
    </xf>
    <xf numFmtId="0" fontId="12" fillId="2" borderId="1" xfId="49" applyFont="1" applyFill="1" applyBorder="1" applyAlignment="1">
      <alignment horizontal="distributed" vertical="center"/>
    </xf>
    <xf numFmtId="0" fontId="7" fillId="2" borderId="2" xfId="49" applyFont="1" applyFill="1" applyBorder="1" applyAlignment="1">
      <alignment horizontal="center" vertical="center"/>
    </xf>
    <xf numFmtId="0" fontId="4" fillId="2" borderId="6" xfId="49" applyFont="1" applyFill="1" applyBorder="1" applyAlignment="1">
      <alignment horizontal="center" vertical="center"/>
    </xf>
    <xf numFmtId="176" fontId="9" fillId="2" borderId="1" xfId="49" applyNumberFormat="1" applyFont="1" applyFill="1" applyBorder="1" applyAlignment="1" applyProtection="1">
      <alignment vertical="center" shrinkToFit="1"/>
      <protection locked="0"/>
    </xf>
    <xf numFmtId="176" fontId="10" fillId="2" borderId="1" xfId="49" applyNumberFormat="1" applyFont="1" applyFill="1" applyBorder="1" applyAlignment="1" applyProtection="1">
      <alignment vertical="center" shrinkToFit="1"/>
      <protection locked="0"/>
    </xf>
    <xf numFmtId="176" fontId="9" fillId="4" borderId="1" xfId="0" applyNumberFormat="1" applyFont="1" applyFill="1" applyBorder="1" applyAlignment="1">
      <alignment vertical="center" shrinkToFit="1"/>
    </xf>
    <xf numFmtId="176" fontId="13" fillId="4" borderId="1" xfId="0" applyNumberFormat="1" applyFont="1" applyFill="1" applyBorder="1" applyAlignment="1">
      <alignment vertical="center" shrinkToFit="1"/>
    </xf>
    <xf numFmtId="176" fontId="10" fillId="5" borderId="1" xfId="49" applyNumberFormat="1" applyFont="1" applyFill="1" applyBorder="1" applyAlignment="1">
      <alignment vertical="center" shrinkToFit="1"/>
    </xf>
    <xf numFmtId="176" fontId="10" fillId="3" borderId="1" xfId="49" applyNumberFormat="1" applyFont="1" applyFill="1" applyBorder="1" applyAlignment="1">
      <alignment vertical="center" shrinkToFit="1"/>
    </xf>
    <xf numFmtId="176" fontId="9" fillId="3" borderId="1" xfId="49" applyNumberFormat="1" applyFont="1" applyFill="1" applyBorder="1" applyAlignment="1">
      <alignment vertical="center" shrinkToFit="1"/>
    </xf>
    <xf numFmtId="0" fontId="14" fillId="2" borderId="0" xfId="49" applyFont="1" applyFill="1" applyAlignment="1">
      <alignment vertical="center"/>
    </xf>
    <xf numFmtId="0" fontId="15" fillId="2" borderId="0" xfId="49" applyFont="1" applyFill="1" applyAlignment="1">
      <alignment vertical="center"/>
    </xf>
    <xf numFmtId="0" fontId="16" fillId="2" borderId="0" xfId="49" applyFont="1" applyFill="1" applyAlignment="1">
      <alignment vertical="center"/>
    </xf>
    <xf numFmtId="0" fontId="17" fillId="2" borderId="1" xfId="49" applyFont="1" applyFill="1" applyBorder="1" applyAlignment="1">
      <alignment horizontal="center" vertical="center"/>
    </xf>
    <xf numFmtId="0" fontId="18" fillId="2" borderId="1" xfId="49" applyFont="1" applyFill="1" applyBorder="1" applyAlignment="1">
      <alignment horizontal="center" vertical="center"/>
    </xf>
    <xf numFmtId="0" fontId="17" fillId="2" borderId="2" xfId="49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6" xfId="49" applyFont="1" applyFill="1" applyBorder="1" applyAlignment="1">
      <alignment horizontal="center" vertical="center"/>
    </xf>
    <xf numFmtId="0" fontId="17" fillId="2" borderId="3" xfId="49" applyFont="1" applyFill="1" applyBorder="1" applyAlignment="1">
      <alignment horizontal="center" vertical="center" wrapText="1"/>
    </xf>
    <xf numFmtId="0" fontId="18" fillId="2" borderId="4" xfId="49" applyFont="1" applyFill="1" applyBorder="1" applyAlignment="1">
      <alignment horizontal="center" vertical="center" wrapText="1"/>
    </xf>
    <xf numFmtId="0" fontId="18" fillId="2" borderId="5" xfId="49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2" xfId="49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7" fillId="2" borderId="1" xfId="49" applyFont="1" applyFill="1" applyBorder="1" applyAlignment="1">
      <alignment horizontal="center" vertical="center" wrapText="1"/>
    </xf>
    <xf numFmtId="0" fontId="18" fillId="2" borderId="7" xfId="49" applyFont="1" applyFill="1" applyBorder="1" applyAlignment="1">
      <alignment horizontal="center" vertical="center"/>
    </xf>
    <xf numFmtId="0" fontId="19" fillId="2" borderId="1" xfId="49" applyFont="1" applyFill="1" applyBorder="1" applyAlignment="1">
      <alignment horizontal="center" vertical="center" wrapText="1"/>
    </xf>
    <xf numFmtId="0" fontId="18" fillId="2" borderId="1" xfId="49" applyFont="1" applyFill="1" applyBorder="1" applyAlignment="1">
      <alignment horizontal="center" vertical="center" wrapText="1"/>
    </xf>
    <xf numFmtId="0" fontId="18" fillId="2" borderId="7" xfId="49" applyFont="1" applyFill="1" applyBorder="1" applyAlignment="1">
      <alignment horizontal="center" vertical="center" wrapText="1"/>
    </xf>
    <xf numFmtId="0" fontId="17" fillId="2" borderId="7" xfId="49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/>
    </xf>
    <xf numFmtId="0" fontId="20" fillId="2" borderId="1" xfId="49" applyFont="1" applyFill="1" applyBorder="1" applyAlignment="1">
      <alignment vertical="center"/>
    </xf>
    <xf numFmtId="176" fontId="18" fillId="3" borderId="1" xfId="49" applyNumberFormat="1" applyFont="1" applyFill="1" applyBorder="1" applyAlignment="1">
      <alignment vertical="center" shrinkToFit="1"/>
    </xf>
    <xf numFmtId="176" fontId="18" fillId="2" borderId="1" xfId="49" applyNumberFormat="1" applyFont="1" applyFill="1" applyBorder="1" applyAlignment="1" applyProtection="1">
      <alignment vertical="center" shrinkToFit="1"/>
      <protection locked="0"/>
    </xf>
    <xf numFmtId="176" fontId="18" fillId="4" borderId="1" xfId="0" applyNumberFormat="1" applyFont="1" applyFill="1" applyBorder="1" applyAlignment="1">
      <alignment vertical="center" shrinkToFit="1"/>
    </xf>
    <xf numFmtId="177" fontId="20" fillId="2" borderId="1" xfId="49" applyNumberFormat="1" applyFont="1" applyFill="1" applyBorder="1" applyAlignment="1">
      <alignment vertical="center"/>
    </xf>
    <xf numFmtId="0" fontId="20" fillId="2" borderId="1" xfId="49" applyFont="1" applyFill="1" applyBorder="1" applyAlignment="1">
      <alignment horizontal="left" vertical="center"/>
    </xf>
    <xf numFmtId="176" fontId="18" fillId="5" borderId="1" xfId="49" applyNumberFormat="1" applyFont="1" applyFill="1" applyBorder="1" applyAlignment="1">
      <alignment vertical="center" shrinkToFit="1"/>
    </xf>
    <xf numFmtId="177" fontId="18" fillId="2" borderId="1" xfId="49" applyNumberFormat="1" applyFont="1" applyFill="1" applyBorder="1" applyAlignment="1">
      <alignment vertical="center"/>
    </xf>
    <xf numFmtId="176" fontId="18" fillId="2" borderId="1" xfId="49" applyNumberFormat="1" applyFont="1" applyFill="1" applyBorder="1" applyAlignment="1">
      <alignment vertical="center" shrinkToFit="1"/>
    </xf>
    <xf numFmtId="0" fontId="21" fillId="2" borderId="1" xfId="49" applyFont="1" applyFill="1" applyBorder="1" applyAlignment="1">
      <alignment horizontal="distributed" vertical="center"/>
    </xf>
    <xf numFmtId="0" fontId="22" fillId="2" borderId="1" xfId="49" applyFont="1" applyFill="1" applyBorder="1" applyAlignment="1">
      <alignment horizontal="distributed" vertical="center"/>
    </xf>
    <xf numFmtId="10" fontId="3" fillId="2" borderId="0" xfId="49" applyNumberFormat="1" applyFont="1" applyFill="1" applyAlignment="1">
      <alignment vertical="center"/>
    </xf>
    <xf numFmtId="0" fontId="3" fillId="2" borderId="1" xfId="49" applyFont="1" applyFill="1" applyBorder="1" applyAlignment="1">
      <alignment vertical="center"/>
    </xf>
    <xf numFmtId="178" fontId="3" fillId="2" borderId="0" xfId="49" applyNumberFormat="1" applyFont="1" applyFill="1" applyAlignment="1">
      <alignment vertical="center"/>
    </xf>
    <xf numFmtId="177" fontId="3" fillId="2" borderId="0" xfId="49" applyNumberFormat="1" applyFont="1" applyFill="1" applyAlignment="1">
      <alignment vertical="center"/>
    </xf>
    <xf numFmtId="0" fontId="23" fillId="6" borderId="0" xfId="49" applyFont="1" applyFill="1" applyAlignment="1">
      <alignment vertical="center"/>
    </xf>
    <xf numFmtId="0" fontId="3" fillId="6" borderId="0" xfId="49" applyFont="1" applyFill="1" applyAlignment="1">
      <alignment horizontal="right" vertical="center"/>
    </xf>
    <xf numFmtId="0" fontId="24" fillId="6" borderId="0" xfId="49" applyFont="1" applyFill="1" applyAlignment="1" applyProtection="1">
      <alignment vertical="center"/>
      <protection hidden="1"/>
    </xf>
    <xf numFmtId="0" fontId="7" fillId="2" borderId="3" xfId="49" applyFont="1" applyFill="1" applyBorder="1" applyAlignment="1">
      <alignment horizontal="center" vertical="center"/>
    </xf>
    <xf numFmtId="0" fontId="7" fillId="2" borderId="5" xfId="49" applyFont="1" applyFill="1" applyBorder="1" applyAlignment="1">
      <alignment horizontal="center" vertical="center"/>
    </xf>
    <xf numFmtId="176" fontId="7" fillId="7" borderId="1" xfId="49" applyNumberFormat="1" applyFont="1" applyFill="1" applyBorder="1" applyAlignment="1" applyProtection="1">
      <alignment vertical="center" shrinkToFit="1"/>
      <protection hidden="1"/>
    </xf>
    <xf numFmtId="176" fontId="13" fillId="8" borderId="1" xfId="0" applyNumberFormat="1" applyFont="1" applyFill="1" applyBorder="1" applyAlignment="1">
      <alignment vertical="center" shrinkToFit="1"/>
    </xf>
    <xf numFmtId="176" fontId="10" fillId="7" borderId="1" xfId="49" applyNumberFormat="1" applyFont="1" applyFill="1" applyBorder="1" applyAlignment="1" applyProtection="1">
      <alignment vertical="center" shrinkToFit="1"/>
      <protection hidden="1"/>
    </xf>
    <xf numFmtId="176" fontId="10" fillId="5" borderId="1" xfId="49" applyNumberFormat="1" applyFont="1" applyFill="1" applyBorder="1" applyAlignment="1" applyProtection="1">
      <alignment vertical="center" shrinkToFit="1"/>
      <protection hidden="1"/>
    </xf>
    <xf numFmtId="0" fontId="7" fillId="0" borderId="1" xfId="0" applyFont="1" applyBorder="1" applyAlignment="1">
      <alignment horizontal="left" vertical="center"/>
    </xf>
    <xf numFmtId="177" fontId="6" fillId="0" borderId="1" xfId="49" applyNumberFormat="1" applyFont="1" applyBorder="1" applyAlignment="1">
      <alignment vertical="center"/>
    </xf>
    <xf numFmtId="176" fontId="7" fillId="0" borderId="1" xfId="49" applyNumberFormat="1" applyFont="1" applyBorder="1" applyAlignment="1">
      <alignment vertical="center" shrinkToFit="1"/>
    </xf>
    <xf numFmtId="176" fontId="10" fillId="0" borderId="1" xfId="49" applyNumberFormat="1" applyFont="1" applyBorder="1" applyAlignment="1">
      <alignment vertical="center" shrinkToFit="1"/>
    </xf>
    <xf numFmtId="0" fontId="11" fillId="2" borderId="1" xfId="49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9044;&#31639;&#32929;\&#39044;&#31639;&#31185;\2024&#24180;\2024&#24180;&#27719;&#24635;&#39044;&#31639;&#65288;&#20844;&#24335;&#29256;&#65289;\&#25253;&#34920;&#26679;&#24335;&#26356;&#26032;\&#38468;&#20214;1-2024&#24180;&#22320;&#26041;&#36130;&#25919;&#39044;&#31639;&#34920;-&#20154;&#22823;&#25209;&#22797;&#21475;&#24452;&#65288;&#29664;&#23665;&#21306;01068551463&#65289;&#19978;&#25253;&#23450;&#312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修改说明"/>
      <sheetName val="表内公式说明"/>
      <sheetName val="填表步骤及汇总方法"/>
      <sheetName val="封面"/>
      <sheetName val="内置数据"/>
      <sheetName val="目录"/>
      <sheetName val="表一"/>
      <sheetName val="表二之一（类款级汇总）"/>
      <sheetName val="表二之二 （录入表）"/>
      <sheetName val="表三之一（汇总表）"/>
      <sheetName val="表三之二（需明确收支对象级次的录入表）"/>
      <sheetName val="表三之三（其它收支录入表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之一（汇总表）"/>
      <sheetName val="表九之二（需明确收支对象级次的录入表）"/>
      <sheetName val="表九之三（其它收支录入表）"/>
      <sheetName val="表十"/>
      <sheetName val="表十一（汇总表）"/>
      <sheetName val="表十二之一（需明确收入对象级次的录入表）"/>
      <sheetName val="表十二之二（其它收入录入表）"/>
      <sheetName val="表十三之一（需明确支出对象级次的录入表）"/>
      <sheetName val="表十三之二（其它支出录入表）"/>
      <sheetName val="表十四"/>
      <sheetName val="表三（省汇总使用）"/>
      <sheetName val="表九（省汇总使用）"/>
      <sheetName val="表十一（省汇总使用）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A6" t="str">
            <v>201</v>
          </cell>
          <cell r="B6" t="str">
            <v>一般公共服务支出</v>
          </cell>
          <cell r="C6">
            <v>46015</v>
          </cell>
          <cell r="D6">
            <v>30455</v>
          </cell>
          <cell r="E6">
            <v>38298</v>
          </cell>
        </row>
        <row r="7">
          <cell r="A7" t="str">
            <v>20101</v>
          </cell>
          <cell r="B7" t="str">
            <v>人大事务</v>
          </cell>
          <cell r="C7">
            <v>576</v>
          </cell>
          <cell r="D7">
            <v>777</v>
          </cell>
          <cell r="E7">
            <v>2402</v>
          </cell>
        </row>
        <row r="8">
          <cell r="A8" t="str">
            <v>20102</v>
          </cell>
          <cell r="B8" t="str">
            <v>政协事务</v>
          </cell>
          <cell r="C8">
            <v>517</v>
          </cell>
          <cell r="D8">
            <v>664</v>
          </cell>
          <cell r="E8">
            <v>714</v>
          </cell>
        </row>
        <row r="9">
          <cell r="A9" t="str">
            <v>20103</v>
          </cell>
          <cell r="B9" t="str">
            <v>政府办公厅（室）及相关机构事务</v>
          </cell>
          <cell r="C9">
            <v>11875</v>
          </cell>
          <cell r="D9">
            <v>13128</v>
          </cell>
          <cell r="E9">
            <v>8945</v>
          </cell>
        </row>
        <row r="10">
          <cell r="A10" t="str">
            <v>20104</v>
          </cell>
          <cell r="B10" t="str">
            <v>发展与改革事务</v>
          </cell>
          <cell r="C10">
            <v>299</v>
          </cell>
          <cell r="D10">
            <v>492</v>
          </cell>
          <cell r="E10">
            <v>3131</v>
          </cell>
        </row>
        <row r="11">
          <cell r="A11" t="str">
            <v>20105</v>
          </cell>
          <cell r="B11" t="str">
            <v>统计信息事务</v>
          </cell>
          <cell r="C11">
            <v>3</v>
          </cell>
          <cell r="D11">
            <v>116</v>
          </cell>
          <cell r="E11">
            <v>340</v>
          </cell>
        </row>
        <row r="12">
          <cell r="A12" t="str">
            <v>20106</v>
          </cell>
          <cell r="B12" t="str">
            <v>财政事务</v>
          </cell>
          <cell r="C12">
            <v>3155</v>
          </cell>
          <cell r="D12">
            <v>1222</v>
          </cell>
          <cell r="E12">
            <v>1468</v>
          </cell>
        </row>
        <row r="13">
          <cell r="A13" t="str">
            <v>20107</v>
          </cell>
          <cell r="B13" t="str">
            <v>税收事务</v>
          </cell>
          <cell r="C13">
            <v>7</v>
          </cell>
          <cell r="D13">
            <v>166</v>
          </cell>
          <cell r="E13">
            <v>384</v>
          </cell>
        </row>
        <row r="14">
          <cell r="A14" t="str">
            <v>20108</v>
          </cell>
          <cell r="B14" t="str">
            <v>审计事务</v>
          </cell>
          <cell r="C14">
            <v>134</v>
          </cell>
          <cell r="D14">
            <v>401</v>
          </cell>
          <cell r="E14">
            <v>422</v>
          </cell>
        </row>
        <row r="15">
          <cell r="A15" t="str">
            <v>20109</v>
          </cell>
          <cell r="B15" t="str">
            <v>海关事务</v>
          </cell>
          <cell r="C15">
            <v>0</v>
          </cell>
          <cell r="D15">
            <v>0</v>
          </cell>
          <cell r="E15">
            <v>1189</v>
          </cell>
        </row>
        <row r="16">
          <cell r="A16" t="str">
            <v>20111</v>
          </cell>
          <cell r="B16" t="str">
            <v>纪检监察事务</v>
          </cell>
          <cell r="C16">
            <v>798</v>
          </cell>
          <cell r="D16">
            <v>790</v>
          </cell>
          <cell r="E16">
            <v>758</v>
          </cell>
        </row>
        <row r="17">
          <cell r="A17" t="str">
            <v>20113</v>
          </cell>
          <cell r="B17" t="str">
            <v>商贸事务</v>
          </cell>
          <cell r="C17">
            <v>2673</v>
          </cell>
          <cell r="D17">
            <v>3616</v>
          </cell>
          <cell r="E17">
            <v>2842</v>
          </cell>
        </row>
        <row r="18">
          <cell r="A18" t="str">
            <v>20114</v>
          </cell>
          <cell r="B18" t="str">
            <v>知识产权事务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20123</v>
          </cell>
          <cell r="B19" t="str">
            <v>民族事务</v>
          </cell>
          <cell r="C19">
            <v>0</v>
          </cell>
          <cell r="D19">
            <v>6</v>
          </cell>
          <cell r="E19">
            <v>0</v>
          </cell>
        </row>
        <row r="20">
          <cell r="A20" t="str">
            <v>20125</v>
          </cell>
          <cell r="B20" t="str">
            <v>港澳台事务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20126</v>
          </cell>
          <cell r="B21" t="str">
            <v>档案事务</v>
          </cell>
          <cell r="C21">
            <v>34</v>
          </cell>
          <cell r="D21">
            <v>118</v>
          </cell>
          <cell r="E21">
            <v>62</v>
          </cell>
        </row>
        <row r="22">
          <cell r="A22" t="str">
            <v>20128</v>
          </cell>
          <cell r="B22" t="str">
            <v>民主党派及工商联事务</v>
          </cell>
          <cell r="C22">
            <v>32</v>
          </cell>
          <cell r="D22">
            <v>66</v>
          </cell>
          <cell r="E22">
            <v>30</v>
          </cell>
        </row>
        <row r="23">
          <cell r="A23" t="str">
            <v>20129</v>
          </cell>
          <cell r="B23" t="str">
            <v>群众团体事务</v>
          </cell>
          <cell r="C23">
            <v>279</v>
          </cell>
          <cell r="D23">
            <v>460</v>
          </cell>
          <cell r="E23">
            <v>409</v>
          </cell>
        </row>
        <row r="24">
          <cell r="A24" t="str">
            <v>20131</v>
          </cell>
          <cell r="B24" t="str">
            <v>党委办公厅（室）及相关机构事务</v>
          </cell>
          <cell r="C24">
            <v>1430</v>
          </cell>
          <cell r="D24">
            <v>2208</v>
          </cell>
          <cell r="E24">
            <v>1793</v>
          </cell>
        </row>
        <row r="25">
          <cell r="A25" t="str">
            <v>20132</v>
          </cell>
          <cell r="B25" t="str">
            <v>组织事务</v>
          </cell>
          <cell r="C25">
            <v>392</v>
          </cell>
          <cell r="D25">
            <v>565</v>
          </cell>
          <cell r="E25">
            <v>535</v>
          </cell>
        </row>
        <row r="26">
          <cell r="A26" t="str">
            <v>20133</v>
          </cell>
          <cell r="B26" t="str">
            <v>宣传事务</v>
          </cell>
          <cell r="C26">
            <v>448</v>
          </cell>
          <cell r="D26">
            <v>681</v>
          </cell>
          <cell r="E26">
            <v>710</v>
          </cell>
        </row>
        <row r="27">
          <cell r="A27" t="str">
            <v>20134</v>
          </cell>
          <cell r="B27" t="str">
            <v>统战事务</v>
          </cell>
          <cell r="C27">
            <v>99</v>
          </cell>
          <cell r="D27">
            <v>182</v>
          </cell>
          <cell r="E27">
            <v>154</v>
          </cell>
        </row>
        <row r="28">
          <cell r="A28" t="str">
            <v>20135</v>
          </cell>
          <cell r="B28" t="str">
            <v>对外联络事务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20136</v>
          </cell>
          <cell r="B29" t="str">
            <v>其他共产党事务支出</v>
          </cell>
          <cell r="C29">
            <v>10</v>
          </cell>
          <cell r="D29">
            <v>25</v>
          </cell>
          <cell r="E29">
            <v>0</v>
          </cell>
        </row>
        <row r="30">
          <cell r="A30" t="str">
            <v>20137</v>
          </cell>
          <cell r="B30" t="str">
            <v>网信事务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20138</v>
          </cell>
          <cell r="B31" t="str">
            <v>市场监督管理事务</v>
          </cell>
          <cell r="C31">
            <v>641</v>
          </cell>
          <cell r="D31">
            <v>972</v>
          </cell>
          <cell r="E31">
            <v>930</v>
          </cell>
        </row>
        <row r="32">
          <cell r="A32" t="str">
            <v>20139</v>
          </cell>
          <cell r="B32" t="str">
            <v>社会工作事务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20140</v>
          </cell>
          <cell r="B33" t="str">
            <v>信访事务</v>
          </cell>
          <cell r="C33">
            <v>96</v>
          </cell>
          <cell r="D33">
            <v>0</v>
          </cell>
          <cell r="E33">
            <v>0</v>
          </cell>
        </row>
        <row r="34">
          <cell r="A34" t="str">
            <v>20199</v>
          </cell>
          <cell r="B34" t="str">
            <v>其他一般公共服务支出</v>
          </cell>
          <cell r="C34">
            <v>22517</v>
          </cell>
          <cell r="D34">
            <v>3800</v>
          </cell>
          <cell r="E34">
            <v>11080</v>
          </cell>
        </row>
        <row r="35">
          <cell r="A35" t="str">
            <v>202</v>
          </cell>
          <cell r="B35" t="str">
            <v>外交支出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20201</v>
          </cell>
          <cell r="B36" t="str">
            <v>外交管理事务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20202</v>
          </cell>
          <cell r="B37" t="str">
            <v>驻外机构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20203</v>
          </cell>
          <cell r="B38" t="str">
            <v>对外援助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20204</v>
          </cell>
          <cell r="B39" t="str">
            <v>国际组织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20205</v>
          </cell>
          <cell r="B40" t="str">
            <v>对外合作与交流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20206</v>
          </cell>
          <cell r="B41" t="str">
            <v>对外宣传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20207</v>
          </cell>
          <cell r="B42" t="str">
            <v>边界勘界联检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20208</v>
          </cell>
          <cell r="B43" t="str">
            <v>国际发展合作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20299</v>
          </cell>
          <cell r="B44" t="str">
            <v>其他外交支出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203</v>
          </cell>
          <cell r="B45" t="str">
            <v>国防支出</v>
          </cell>
          <cell r="C45">
            <v>22</v>
          </cell>
          <cell r="D45">
            <v>74</v>
          </cell>
          <cell r="E45">
            <v>0</v>
          </cell>
        </row>
        <row r="46">
          <cell r="A46" t="str">
            <v>20301</v>
          </cell>
          <cell r="B46" t="str">
            <v>军费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20304</v>
          </cell>
          <cell r="B47" t="str">
            <v>国防科研事业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20305</v>
          </cell>
          <cell r="B48" t="str">
            <v>专项工程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20306</v>
          </cell>
          <cell r="B49" t="str">
            <v>国防动员</v>
          </cell>
          <cell r="C49">
            <v>22</v>
          </cell>
          <cell r="D49">
            <v>74</v>
          </cell>
          <cell r="E49">
            <v>0</v>
          </cell>
        </row>
        <row r="50">
          <cell r="A50" t="str">
            <v>20399</v>
          </cell>
          <cell r="B50" t="str">
            <v>其他国防支出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204</v>
          </cell>
          <cell r="B51" t="str">
            <v>公共安全支出</v>
          </cell>
          <cell r="C51">
            <v>2189</v>
          </cell>
          <cell r="D51">
            <v>328</v>
          </cell>
          <cell r="E51">
            <v>2641</v>
          </cell>
        </row>
        <row r="52">
          <cell r="A52" t="str">
            <v>20401</v>
          </cell>
          <cell r="B52" t="str">
            <v>武装警察部队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20402</v>
          </cell>
          <cell r="B53" t="str">
            <v>公安</v>
          </cell>
          <cell r="C53">
            <v>0</v>
          </cell>
          <cell r="D53">
            <v>93</v>
          </cell>
          <cell r="E53">
            <v>4</v>
          </cell>
        </row>
        <row r="54">
          <cell r="A54" t="str">
            <v>20403</v>
          </cell>
          <cell r="B54" t="str">
            <v>国家安全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20404</v>
          </cell>
          <cell r="B55" t="str">
            <v>检察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20405</v>
          </cell>
          <cell r="B56" t="str">
            <v>法院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20406</v>
          </cell>
          <cell r="B57" t="str">
            <v>司法</v>
          </cell>
          <cell r="C57">
            <v>12</v>
          </cell>
          <cell r="D57">
            <v>217</v>
          </cell>
          <cell r="E57">
            <v>388</v>
          </cell>
        </row>
        <row r="58">
          <cell r="A58" t="str">
            <v>20407</v>
          </cell>
          <cell r="B58" t="str">
            <v>监狱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20408</v>
          </cell>
          <cell r="B59" t="str">
            <v>强制隔离戒毒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20409</v>
          </cell>
          <cell r="B60" t="str">
            <v>国家保密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20410</v>
          </cell>
          <cell r="B61" t="str">
            <v>缉私警察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20499</v>
          </cell>
          <cell r="B62" t="str">
            <v>其他公共安全支出</v>
          </cell>
          <cell r="C62">
            <v>2177</v>
          </cell>
          <cell r="D62">
            <v>18</v>
          </cell>
          <cell r="E62">
            <v>2249</v>
          </cell>
        </row>
        <row r="63">
          <cell r="A63" t="str">
            <v>205</v>
          </cell>
          <cell r="B63" t="str">
            <v>教育支出</v>
          </cell>
          <cell r="C63">
            <v>28860</v>
          </cell>
          <cell r="D63">
            <v>34290</v>
          </cell>
          <cell r="E63">
            <v>34854</v>
          </cell>
        </row>
        <row r="64">
          <cell r="A64" t="str">
            <v>20501</v>
          </cell>
          <cell r="B64" t="str">
            <v>教育管理事务</v>
          </cell>
          <cell r="C64">
            <v>765</v>
          </cell>
          <cell r="D64">
            <v>417</v>
          </cell>
          <cell r="E64">
            <v>1600</v>
          </cell>
        </row>
        <row r="65">
          <cell r="A65" t="str">
            <v>20502</v>
          </cell>
          <cell r="B65" t="str">
            <v>普通教育</v>
          </cell>
          <cell r="C65">
            <v>28095</v>
          </cell>
          <cell r="D65">
            <v>30984</v>
          </cell>
          <cell r="E65">
            <v>27054</v>
          </cell>
        </row>
        <row r="66">
          <cell r="A66" t="str">
            <v>20503</v>
          </cell>
          <cell r="B66" t="str">
            <v>职业教育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20504</v>
          </cell>
          <cell r="B67" t="str">
            <v>成人教育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20505</v>
          </cell>
          <cell r="B68" t="str">
            <v>广播电视教育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20506</v>
          </cell>
          <cell r="B69" t="str">
            <v>留学教育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20507</v>
          </cell>
          <cell r="B70" t="str">
            <v>特殊教育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20508</v>
          </cell>
          <cell r="B71" t="str">
            <v>进修及培训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20509</v>
          </cell>
          <cell r="B72" t="str">
            <v>教育费附加安排的支出</v>
          </cell>
          <cell r="C72">
            <v>0</v>
          </cell>
          <cell r="D72">
            <v>2889</v>
          </cell>
          <cell r="E72">
            <v>6200</v>
          </cell>
        </row>
        <row r="73">
          <cell r="A73" t="str">
            <v>20599</v>
          </cell>
          <cell r="B73" t="str">
            <v>其他教育支出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206</v>
          </cell>
          <cell r="B74" t="str">
            <v>科学技术支出</v>
          </cell>
          <cell r="C74">
            <v>3114</v>
          </cell>
          <cell r="D74">
            <v>1154</v>
          </cell>
          <cell r="E74">
            <v>3138</v>
          </cell>
        </row>
        <row r="75">
          <cell r="A75" t="str">
            <v>20601</v>
          </cell>
          <cell r="B75" t="str">
            <v>科学技术管理事务</v>
          </cell>
          <cell r="C75">
            <v>46</v>
          </cell>
          <cell r="D75">
            <v>422</v>
          </cell>
          <cell r="E75">
            <v>3138</v>
          </cell>
        </row>
        <row r="76">
          <cell r="A76" t="str">
            <v>20602</v>
          </cell>
          <cell r="B76" t="str">
            <v>基础研究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20603</v>
          </cell>
          <cell r="B77" t="str">
            <v>应用研究</v>
          </cell>
          <cell r="C77">
            <v>0</v>
          </cell>
          <cell r="D77">
            <v>5</v>
          </cell>
          <cell r="E77">
            <v>0</v>
          </cell>
        </row>
        <row r="78">
          <cell r="A78" t="str">
            <v>20604</v>
          </cell>
          <cell r="B78" t="str">
            <v>技术研究与开发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20605</v>
          </cell>
          <cell r="B79" t="str">
            <v>科技条件与服务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20606</v>
          </cell>
          <cell r="B80" t="str">
            <v>社会科学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20607</v>
          </cell>
          <cell r="B81" t="str">
            <v>科学技术普及</v>
          </cell>
          <cell r="C81">
            <v>52</v>
          </cell>
          <cell r="D81">
            <v>68</v>
          </cell>
          <cell r="E81">
            <v>0</v>
          </cell>
        </row>
        <row r="82">
          <cell r="A82" t="str">
            <v>20608</v>
          </cell>
          <cell r="B82" t="str">
            <v>科技交流与合作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20609</v>
          </cell>
          <cell r="B83" t="str">
            <v>科技重大项目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20699</v>
          </cell>
          <cell r="B84" t="str">
            <v>其他科学技术支出</v>
          </cell>
          <cell r="C84">
            <v>3016</v>
          </cell>
          <cell r="D84">
            <v>659</v>
          </cell>
          <cell r="E84">
            <v>0</v>
          </cell>
        </row>
        <row r="85">
          <cell r="A85" t="str">
            <v>207</v>
          </cell>
          <cell r="B85" t="str">
            <v>文化旅游体育与传媒支出</v>
          </cell>
          <cell r="C85">
            <v>3183</v>
          </cell>
          <cell r="D85">
            <v>4051</v>
          </cell>
          <cell r="E85">
            <v>4024</v>
          </cell>
        </row>
        <row r="86">
          <cell r="A86" t="str">
            <v>20701</v>
          </cell>
          <cell r="B86" t="str">
            <v>文化和旅游</v>
          </cell>
          <cell r="C86">
            <v>307</v>
          </cell>
          <cell r="D86">
            <v>759</v>
          </cell>
          <cell r="E86">
            <v>524</v>
          </cell>
        </row>
        <row r="87">
          <cell r="A87" t="str">
            <v>20702</v>
          </cell>
          <cell r="B87" t="str">
            <v>文物</v>
          </cell>
          <cell r="C87">
            <v>22</v>
          </cell>
          <cell r="D87">
            <v>10</v>
          </cell>
          <cell r="E87">
            <v>20</v>
          </cell>
        </row>
        <row r="88">
          <cell r="A88" t="str">
            <v>20703</v>
          </cell>
          <cell r="B88" t="str">
            <v>体育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20706</v>
          </cell>
          <cell r="B89" t="str">
            <v>新闻出版电影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20708</v>
          </cell>
          <cell r="B90" t="str">
            <v>广播电视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20799</v>
          </cell>
          <cell r="B91" t="str">
            <v>其他文化旅游体育与传媒支出</v>
          </cell>
          <cell r="C91">
            <v>2854</v>
          </cell>
          <cell r="D91">
            <v>3282</v>
          </cell>
          <cell r="E91">
            <v>3480</v>
          </cell>
        </row>
        <row r="92">
          <cell r="A92" t="str">
            <v>208</v>
          </cell>
          <cell r="B92" t="str">
            <v>社会保障和就业支出</v>
          </cell>
          <cell r="C92">
            <v>41972</v>
          </cell>
          <cell r="D92">
            <v>22356</v>
          </cell>
          <cell r="E92">
            <v>25789</v>
          </cell>
        </row>
        <row r="93">
          <cell r="A93" t="str">
            <v>20801</v>
          </cell>
          <cell r="B93" t="str">
            <v>人力资源和社会保障管理事务</v>
          </cell>
          <cell r="C93">
            <v>890</v>
          </cell>
          <cell r="D93">
            <v>1296</v>
          </cell>
          <cell r="E93">
            <v>885</v>
          </cell>
        </row>
        <row r="94">
          <cell r="A94" t="str">
            <v>20802</v>
          </cell>
          <cell r="B94" t="str">
            <v>民政管理事务</v>
          </cell>
          <cell r="C94">
            <v>3111</v>
          </cell>
          <cell r="D94">
            <v>189</v>
          </cell>
          <cell r="E94">
            <v>4767</v>
          </cell>
        </row>
        <row r="95">
          <cell r="A95" t="str">
            <v>20805</v>
          </cell>
          <cell r="B95" t="str">
            <v>行政事业单位养老支出</v>
          </cell>
          <cell r="C95">
            <v>2948</v>
          </cell>
          <cell r="D95">
            <v>6245</v>
          </cell>
          <cell r="E95">
            <v>5000</v>
          </cell>
        </row>
        <row r="96">
          <cell r="A96" t="str">
            <v>20806</v>
          </cell>
          <cell r="B96" t="str">
            <v>企业改革补助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20807</v>
          </cell>
          <cell r="B97" t="str">
            <v>就业补助</v>
          </cell>
          <cell r="C97">
            <v>84</v>
          </cell>
          <cell r="D97">
            <v>698</v>
          </cell>
          <cell r="E97">
            <v>1255</v>
          </cell>
        </row>
        <row r="98">
          <cell r="A98" t="str">
            <v>20808</v>
          </cell>
          <cell r="B98" t="str">
            <v>抚恤</v>
          </cell>
          <cell r="C98">
            <v>33</v>
          </cell>
          <cell r="D98">
            <v>1080</v>
          </cell>
          <cell r="E98">
            <v>335</v>
          </cell>
        </row>
        <row r="99">
          <cell r="A99" t="str">
            <v>20809</v>
          </cell>
          <cell r="B99" t="str">
            <v>退役安置</v>
          </cell>
          <cell r="C99">
            <v>0</v>
          </cell>
          <cell r="D99">
            <v>30</v>
          </cell>
          <cell r="E99">
            <v>11</v>
          </cell>
        </row>
        <row r="100">
          <cell r="A100" t="str">
            <v>20810</v>
          </cell>
          <cell r="B100" t="str">
            <v>社会福利</v>
          </cell>
          <cell r="C100">
            <v>453</v>
          </cell>
          <cell r="D100">
            <v>879</v>
          </cell>
          <cell r="E100">
            <v>48</v>
          </cell>
        </row>
        <row r="101">
          <cell r="A101" t="str">
            <v>20811</v>
          </cell>
          <cell r="B101" t="str">
            <v>残疾人事业</v>
          </cell>
          <cell r="C101">
            <v>128</v>
          </cell>
          <cell r="D101">
            <v>1822</v>
          </cell>
          <cell r="E101">
            <v>77</v>
          </cell>
        </row>
        <row r="102">
          <cell r="A102" t="str">
            <v>20816</v>
          </cell>
          <cell r="B102" t="str">
            <v>红十字事业</v>
          </cell>
          <cell r="C102">
            <v>28</v>
          </cell>
          <cell r="D102">
            <v>54</v>
          </cell>
          <cell r="E102">
            <v>40</v>
          </cell>
        </row>
        <row r="103">
          <cell r="A103" t="str">
            <v>20819</v>
          </cell>
          <cell r="B103" t="str">
            <v>最低生活保障</v>
          </cell>
          <cell r="C103">
            <v>8</v>
          </cell>
          <cell r="D103">
            <v>6387</v>
          </cell>
          <cell r="E103">
            <v>180</v>
          </cell>
        </row>
        <row r="104">
          <cell r="A104" t="str">
            <v>20820</v>
          </cell>
          <cell r="B104" t="str">
            <v>临时救助</v>
          </cell>
          <cell r="C104">
            <v>10</v>
          </cell>
          <cell r="D104">
            <v>483</v>
          </cell>
          <cell r="E104">
            <v>0</v>
          </cell>
        </row>
        <row r="105">
          <cell r="A105" t="str">
            <v>20821</v>
          </cell>
          <cell r="B105" t="str">
            <v>特困人员救助供养</v>
          </cell>
          <cell r="C105">
            <v>0</v>
          </cell>
          <cell r="D105">
            <v>424</v>
          </cell>
          <cell r="E105">
            <v>0</v>
          </cell>
        </row>
        <row r="106">
          <cell r="A106" t="str">
            <v>20824</v>
          </cell>
          <cell r="B106" t="str">
            <v>补充道路交通事故社会救助基金</v>
          </cell>
          <cell r="C106">
            <v>0</v>
          </cell>
          <cell r="D106">
            <v>0</v>
          </cell>
          <cell r="E106">
            <v>0</v>
          </cell>
        </row>
        <row r="107">
          <cell r="A107" t="str">
            <v>20825</v>
          </cell>
          <cell r="B107" t="str">
            <v>其他生活救助</v>
          </cell>
          <cell r="C107">
            <v>21</v>
          </cell>
          <cell r="D107">
            <v>40</v>
          </cell>
          <cell r="E107">
            <v>434</v>
          </cell>
        </row>
        <row r="108">
          <cell r="A108" t="str">
            <v>20826</v>
          </cell>
          <cell r="B108" t="str">
            <v>财政对基本养老保险基金的补助</v>
          </cell>
          <cell r="C108">
            <v>0</v>
          </cell>
          <cell r="D108">
            <v>556</v>
          </cell>
          <cell r="E108">
            <v>0</v>
          </cell>
        </row>
        <row r="109">
          <cell r="A109" t="str">
            <v>20827</v>
          </cell>
          <cell r="B109" t="str">
            <v>财政对其他社会保险基金的补助</v>
          </cell>
          <cell r="C109">
            <v>0</v>
          </cell>
          <cell r="D109">
            <v>0</v>
          </cell>
          <cell r="E109">
            <v>0</v>
          </cell>
        </row>
        <row r="110">
          <cell r="A110" t="str">
            <v>20828</v>
          </cell>
          <cell r="B110" t="str">
            <v>退役军人管理事务</v>
          </cell>
          <cell r="C110">
            <v>517</v>
          </cell>
          <cell r="D110">
            <v>958</v>
          </cell>
          <cell r="E110">
            <v>0</v>
          </cell>
        </row>
        <row r="111">
          <cell r="A111" t="str">
            <v>20830</v>
          </cell>
          <cell r="B111" t="str">
            <v>财政代缴社会保险费支出</v>
          </cell>
          <cell r="C111">
            <v>0</v>
          </cell>
          <cell r="D111">
            <v>0</v>
          </cell>
          <cell r="E111">
            <v>0</v>
          </cell>
        </row>
        <row r="112">
          <cell r="A112" t="str">
            <v>20899</v>
          </cell>
          <cell r="B112" t="str">
            <v>其他社会保障和就业支出</v>
          </cell>
          <cell r="C112">
            <v>33741</v>
          </cell>
          <cell r="D112">
            <v>1215</v>
          </cell>
          <cell r="E112">
            <v>12757</v>
          </cell>
        </row>
        <row r="113">
          <cell r="A113" t="str">
            <v>210</v>
          </cell>
          <cell r="B113" t="str">
            <v>卫生健康支出</v>
          </cell>
          <cell r="C113">
            <v>9654</v>
          </cell>
          <cell r="D113">
            <v>18763</v>
          </cell>
          <cell r="E113">
            <v>19586</v>
          </cell>
        </row>
        <row r="114">
          <cell r="A114" t="str">
            <v>21001</v>
          </cell>
          <cell r="B114" t="str">
            <v>卫生健康管理事务</v>
          </cell>
          <cell r="C114">
            <v>2186</v>
          </cell>
          <cell r="D114">
            <v>2716</v>
          </cell>
          <cell r="E114">
            <v>681</v>
          </cell>
        </row>
        <row r="115">
          <cell r="A115" t="str">
            <v>21002</v>
          </cell>
          <cell r="B115" t="str">
            <v>公立医院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21003</v>
          </cell>
          <cell r="B116" t="str">
            <v>基层医疗卫生机构</v>
          </cell>
          <cell r="C116">
            <v>5</v>
          </cell>
          <cell r="D116">
            <v>228</v>
          </cell>
          <cell r="E116">
            <v>58</v>
          </cell>
        </row>
        <row r="117">
          <cell r="A117" t="str">
            <v>21004</v>
          </cell>
          <cell r="B117" t="str">
            <v>公共卫生</v>
          </cell>
          <cell r="C117">
            <v>1178</v>
          </cell>
          <cell r="D117">
            <v>9029</v>
          </cell>
          <cell r="E117">
            <v>3864</v>
          </cell>
        </row>
        <row r="118">
          <cell r="A118" t="str">
            <v>21007</v>
          </cell>
          <cell r="B118" t="str">
            <v>计划生育事务</v>
          </cell>
          <cell r="C118">
            <v>4524</v>
          </cell>
          <cell r="D118">
            <v>5507</v>
          </cell>
          <cell r="E118">
            <v>5155</v>
          </cell>
        </row>
        <row r="119">
          <cell r="A119" t="str">
            <v>21011</v>
          </cell>
          <cell r="B119" t="str">
            <v>行政事业单位医疗</v>
          </cell>
          <cell r="C119">
            <v>1226</v>
          </cell>
          <cell r="D119">
            <v>551</v>
          </cell>
          <cell r="E119">
            <v>6828</v>
          </cell>
        </row>
        <row r="120">
          <cell r="A120" t="str">
            <v>21012</v>
          </cell>
          <cell r="B120" t="str">
            <v>财政对基本医疗保险基金的补助</v>
          </cell>
          <cell r="C120">
            <v>0</v>
          </cell>
          <cell r="D120">
            <v>0</v>
          </cell>
          <cell r="E120">
            <v>0</v>
          </cell>
        </row>
        <row r="121">
          <cell r="A121" t="str">
            <v>21013</v>
          </cell>
          <cell r="B121" t="str">
            <v>医疗救助</v>
          </cell>
          <cell r="C121">
            <v>0</v>
          </cell>
          <cell r="D121">
            <v>429</v>
          </cell>
          <cell r="E121">
            <v>0</v>
          </cell>
        </row>
        <row r="122">
          <cell r="A122" t="str">
            <v>21014</v>
          </cell>
          <cell r="B122" t="str">
            <v>优抚对象医疗</v>
          </cell>
          <cell r="C122">
            <v>0</v>
          </cell>
          <cell r="D122">
            <v>21</v>
          </cell>
          <cell r="E122">
            <v>0</v>
          </cell>
        </row>
        <row r="123">
          <cell r="A123" t="str">
            <v>21015</v>
          </cell>
          <cell r="B123" t="str">
            <v>医疗保障管理事务</v>
          </cell>
          <cell r="C123">
            <v>115</v>
          </cell>
          <cell r="D123">
            <v>274</v>
          </cell>
          <cell r="E123">
            <v>0</v>
          </cell>
        </row>
        <row r="124">
          <cell r="A124" t="str">
            <v>21016</v>
          </cell>
          <cell r="B124" t="str">
            <v>老龄卫生健康事务</v>
          </cell>
          <cell r="C124">
            <v>0</v>
          </cell>
          <cell r="D124">
            <v>0</v>
          </cell>
          <cell r="E124">
            <v>0</v>
          </cell>
        </row>
        <row r="125">
          <cell r="A125" t="str">
            <v>21017</v>
          </cell>
          <cell r="B125" t="str">
            <v>中医药事务</v>
          </cell>
          <cell r="C125">
            <v>0</v>
          </cell>
          <cell r="D125">
            <v>0</v>
          </cell>
          <cell r="E125">
            <v>0</v>
          </cell>
        </row>
        <row r="126">
          <cell r="A126" t="str">
            <v>21018</v>
          </cell>
          <cell r="B126" t="str">
            <v>疾病预防控制事务</v>
          </cell>
          <cell r="C126">
            <v>0</v>
          </cell>
          <cell r="D126">
            <v>0</v>
          </cell>
          <cell r="E126">
            <v>0</v>
          </cell>
        </row>
        <row r="127">
          <cell r="A127" t="str">
            <v>21099</v>
          </cell>
          <cell r="B127" t="str">
            <v>其他卫生健康支出</v>
          </cell>
          <cell r="C127">
            <v>420</v>
          </cell>
          <cell r="D127">
            <v>8</v>
          </cell>
          <cell r="E127">
            <v>3000</v>
          </cell>
        </row>
        <row r="128">
          <cell r="A128" t="str">
            <v>211</v>
          </cell>
          <cell r="B128" t="str">
            <v>节能环保支出</v>
          </cell>
          <cell r="C128">
            <v>3282</v>
          </cell>
          <cell r="D128">
            <v>3420</v>
          </cell>
          <cell r="E128">
            <v>5983</v>
          </cell>
        </row>
        <row r="129">
          <cell r="A129" t="str">
            <v>21101</v>
          </cell>
          <cell r="B129" t="str">
            <v>环境保护管理事务</v>
          </cell>
          <cell r="C129">
            <v>186</v>
          </cell>
          <cell r="D129">
            <v>281</v>
          </cell>
          <cell r="E129">
            <v>2983</v>
          </cell>
        </row>
        <row r="130">
          <cell r="A130" t="str">
            <v>21102</v>
          </cell>
          <cell r="B130" t="str">
            <v>环境监测与监察</v>
          </cell>
          <cell r="C130">
            <v>0</v>
          </cell>
          <cell r="D130">
            <v>0</v>
          </cell>
          <cell r="E130">
            <v>0</v>
          </cell>
        </row>
        <row r="131">
          <cell r="A131" t="str">
            <v>21103</v>
          </cell>
          <cell r="B131" t="str">
            <v>污染防治</v>
          </cell>
          <cell r="C131">
            <v>2485</v>
          </cell>
          <cell r="D131">
            <v>2894</v>
          </cell>
          <cell r="E131">
            <v>0</v>
          </cell>
        </row>
        <row r="132">
          <cell r="A132" t="str">
            <v>21104</v>
          </cell>
          <cell r="B132" t="str">
            <v>自然生态保护</v>
          </cell>
          <cell r="C132">
            <v>0</v>
          </cell>
          <cell r="D132">
            <v>0</v>
          </cell>
          <cell r="E132">
            <v>0</v>
          </cell>
        </row>
        <row r="133">
          <cell r="A133" t="str">
            <v>21105</v>
          </cell>
          <cell r="B133" t="str">
            <v>森林保护修复</v>
          </cell>
          <cell r="C133">
            <v>0</v>
          </cell>
          <cell r="D133">
            <v>0</v>
          </cell>
          <cell r="E133">
            <v>0</v>
          </cell>
        </row>
        <row r="134">
          <cell r="A134" t="str">
            <v>21107</v>
          </cell>
          <cell r="B134" t="str">
            <v>风沙荒漠治理</v>
          </cell>
          <cell r="C134">
            <v>0</v>
          </cell>
          <cell r="D134">
            <v>0</v>
          </cell>
          <cell r="E134">
            <v>0</v>
          </cell>
        </row>
        <row r="135">
          <cell r="A135" t="str">
            <v>21108</v>
          </cell>
          <cell r="B135" t="str">
            <v>退牧还草</v>
          </cell>
          <cell r="C135">
            <v>0</v>
          </cell>
          <cell r="D135">
            <v>0</v>
          </cell>
          <cell r="E135">
            <v>0</v>
          </cell>
        </row>
        <row r="136">
          <cell r="A136" t="str">
            <v>21109</v>
          </cell>
          <cell r="B136" t="str">
            <v>已垦草原退耕还草</v>
          </cell>
          <cell r="C136">
            <v>0</v>
          </cell>
          <cell r="D136">
            <v>0</v>
          </cell>
          <cell r="E136">
            <v>0</v>
          </cell>
        </row>
        <row r="137">
          <cell r="A137" t="str">
            <v>21110</v>
          </cell>
          <cell r="B137" t="str">
            <v>能源节约利用</v>
          </cell>
          <cell r="C137">
            <v>209</v>
          </cell>
          <cell r="D137">
            <v>227</v>
          </cell>
          <cell r="E137">
            <v>0</v>
          </cell>
        </row>
        <row r="138">
          <cell r="A138" t="str">
            <v>21111</v>
          </cell>
          <cell r="B138" t="str">
            <v>污染减排</v>
          </cell>
          <cell r="C138">
            <v>0</v>
          </cell>
          <cell r="D138">
            <v>0</v>
          </cell>
          <cell r="E138">
            <v>36</v>
          </cell>
        </row>
        <row r="139">
          <cell r="A139" t="str">
            <v>21112</v>
          </cell>
          <cell r="B139" t="str">
            <v>可再生能源</v>
          </cell>
          <cell r="C139">
            <v>0</v>
          </cell>
          <cell r="D139">
            <v>0</v>
          </cell>
          <cell r="E139">
            <v>0</v>
          </cell>
        </row>
        <row r="140">
          <cell r="A140" t="str">
            <v>21113</v>
          </cell>
          <cell r="B140" t="str">
            <v>循环经济</v>
          </cell>
          <cell r="C140">
            <v>0</v>
          </cell>
          <cell r="D140">
            <v>0</v>
          </cell>
          <cell r="E140">
            <v>0</v>
          </cell>
        </row>
        <row r="141">
          <cell r="A141" t="str">
            <v>21114</v>
          </cell>
          <cell r="B141" t="str">
            <v>能源管理事务</v>
          </cell>
          <cell r="C141">
            <v>0</v>
          </cell>
          <cell r="D141">
            <v>0</v>
          </cell>
          <cell r="E141">
            <v>0</v>
          </cell>
        </row>
        <row r="142">
          <cell r="A142" t="str">
            <v>21199</v>
          </cell>
          <cell r="B142" t="str">
            <v>其他节能环保支出</v>
          </cell>
          <cell r="C142">
            <v>402</v>
          </cell>
          <cell r="D142">
            <v>18</v>
          </cell>
          <cell r="E142">
            <v>2964</v>
          </cell>
        </row>
        <row r="143">
          <cell r="A143" t="str">
            <v>212</v>
          </cell>
          <cell r="B143" t="str">
            <v>城乡社区支出</v>
          </cell>
          <cell r="C143">
            <v>17417</v>
          </cell>
          <cell r="D143">
            <v>49768</v>
          </cell>
          <cell r="E143">
            <v>41933</v>
          </cell>
        </row>
        <row r="144">
          <cell r="A144" t="str">
            <v>21201</v>
          </cell>
          <cell r="B144" t="str">
            <v>城乡社区管理事务</v>
          </cell>
          <cell r="C144">
            <v>5594</v>
          </cell>
          <cell r="D144">
            <v>26732</v>
          </cell>
          <cell r="E144">
            <v>24530</v>
          </cell>
        </row>
        <row r="145">
          <cell r="A145" t="str">
            <v>21202</v>
          </cell>
          <cell r="B145" t="str">
            <v>城乡社区规划与管理</v>
          </cell>
          <cell r="C145">
            <v>0</v>
          </cell>
          <cell r="D145">
            <v>0</v>
          </cell>
          <cell r="E145">
            <v>0</v>
          </cell>
        </row>
        <row r="146">
          <cell r="A146" t="str">
            <v>21203</v>
          </cell>
          <cell r="B146" t="str">
            <v>城乡社区公共设施</v>
          </cell>
          <cell r="C146">
            <v>1700</v>
          </cell>
          <cell r="D146">
            <v>200</v>
          </cell>
          <cell r="E146">
            <v>9080</v>
          </cell>
        </row>
        <row r="147">
          <cell r="A147" t="str">
            <v>21205</v>
          </cell>
          <cell r="B147" t="str">
            <v>城乡社区环境卫生</v>
          </cell>
          <cell r="C147">
            <v>2817</v>
          </cell>
          <cell r="D147">
            <v>218</v>
          </cell>
          <cell r="E147">
            <v>7701</v>
          </cell>
        </row>
        <row r="148">
          <cell r="A148" t="str">
            <v>21206</v>
          </cell>
          <cell r="B148" t="str">
            <v>建设市场管理与监督</v>
          </cell>
          <cell r="C148">
            <v>0</v>
          </cell>
          <cell r="D148">
            <v>0</v>
          </cell>
          <cell r="E148">
            <v>0</v>
          </cell>
        </row>
        <row r="149">
          <cell r="A149" t="str">
            <v>21299</v>
          </cell>
          <cell r="B149" t="str">
            <v>其他城乡社区支出</v>
          </cell>
          <cell r="C149">
            <v>7306</v>
          </cell>
          <cell r="D149">
            <v>22618</v>
          </cell>
          <cell r="E149">
            <v>622</v>
          </cell>
        </row>
        <row r="150">
          <cell r="A150" t="str">
            <v>213</v>
          </cell>
          <cell r="B150" t="str">
            <v>农林水支出</v>
          </cell>
          <cell r="C150">
            <v>8008</v>
          </cell>
          <cell r="D150">
            <v>11094</v>
          </cell>
          <cell r="E150">
            <v>11369</v>
          </cell>
        </row>
        <row r="151">
          <cell r="A151" t="str">
            <v>21301</v>
          </cell>
          <cell r="B151" t="str">
            <v>农业农村</v>
          </cell>
          <cell r="C151">
            <v>2062</v>
          </cell>
          <cell r="D151">
            <v>1636</v>
          </cell>
          <cell r="E151">
            <v>5020</v>
          </cell>
        </row>
        <row r="152">
          <cell r="A152" t="str">
            <v>21302</v>
          </cell>
          <cell r="B152" t="str">
            <v>林业和草原</v>
          </cell>
          <cell r="C152">
            <v>74</v>
          </cell>
          <cell r="D152">
            <v>346</v>
          </cell>
          <cell r="E152">
            <v>120</v>
          </cell>
        </row>
        <row r="153">
          <cell r="A153" t="str">
            <v>21303</v>
          </cell>
          <cell r="B153" t="str">
            <v>水利</v>
          </cell>
          <cell r="C153">
            <v>243</v>
          </cell>
          <cell r="D153">
            <v>1355</v>
          </cell>
          <cell r="E153">
            <v>57</v>
          </cell>
        </row>
        <row r="154">
          <cell r="A154" t="str">
            <v>21305</v>
          </cell>
          <cell r="B154" t="str">
            <v>巩固脱贫攻坚成果衔接乡村振兴</v>
          </cell>
          <cell r="C154">
            <v>1464</v>
          </cell>
          <cell r="D154">
            <v>1960</v>
          </cell>
          <cell r="E154">
            <v>1326</v>
          </cell>
        </row>
        <row r="155">
          <cell r="A155" t="str">
            <v>21307</v>
          </cell>
          <cell r="B155" t="str">
            <v>农村综合改革</v>
          </cell>
          <cell r="C155">
            <v>4046</v>
          </cell>
          <cell r="D155">
            <v>5448</v>
          </cell>
          <cell r="E155">
            <v>4782</v>
          </cell>
        </row>
        <row r="156">
          <cell r="A156" t="str">
            <v>21308</v>
          </cell>
          <cell r="B156" t="str">
            <v>普惠金融发展支出</v>
          </cell>
          <cell r="C156">
            <v>109</v>
          </cell>
          <cell r="D156">
            <v>348</v>
          </cell>
          <cell r="E156">
            <v>61</v>
          </cell>
        </row>
        <row r="157">
          <cell r="A157" t="str">
            <v>21309</v>
          </cell>
          <cell r="B157" t="str">
            <v>目标价格补贴</v>
          </cell>
          <cell r="C157">
            <v>0</v>
          </cell>
          <cell r="D157">
            <v>1</v>
          </cell>
          <cell r="E157">
            <v>0</v>
          </cell>
        </row>
        <row r="158">
          <cell r="A158" t="str">
            <v>21399</v>
          </cell>
          <cell r="B158" t="str">
            <v>其他农林水支出</v>
          </cell>
          <cell r="C158">
            <v>10</v>
          </cell>
          <cell r="D158">
            <v>0</v>
          </cell>
          <cell r="E158">
            <v>3</v>
          </cell>
        </row>
        <row r="159">
          <cell r="A159" t="str">
            <v>214</v>
          </cell>
          <cell r="B159" t="str">
            <v>交通运输支出</v>
          </cell>
          <cell r="C159">
            <v>2013</v>
          </cell>
          <cell r="D159">
            <v>4824</v>
          </cell>
          <cell r="E159">
            <v>2943</v>
          </cell>
        </row>
        <row r="160">
          <cell r="A160" t="str">
            <v>21401</v>
          </cell>
          <cell r="B160" t="str">
            <v>公路水路运输</v>
          </cell>
          <cell r="C160">
            <v>2013</v>
          </cell>
          <cell r="D160">
            <v>4824</v>
          </cell>
          <cell r="E160">
            <v>2943</v>
          </cell>
        </row>
        <row r="161">
          <cell r="A161" t="str">
            <v>21402</v>
          </cell>
          <cell r="B161" t="str">
            <v>铁路运输</v>
          </cell>
          <cell r="C161">
            <v>0</v>
          </cell>
          <cell r="D161">
            <v>0</v>
          </cell>
          <cell r="E161">
            <v>0</v>
          </cell>
        </row>
        <row r="162">
          <cell r="A162" t="str">
            <v>21403</v>
          </cell>
          <cell r="B162" t="str">
            <v>民用航空运输</v>
          </cell>
          <cell r="C162">
            <v>0</v>
          </cell>
          <cell r="D162">
            <v>0</v>
          </cell>
          <cell r="E162">
            <v>0</v>
          </cell>
        </row>
        <row r="163">
          <cell r="A163" t="str">
            <v>21405</v>
          </cell>
          <cell r="B163" t="str">
            <v>邮政业支出</v>
          </cell>
          <cell r="C163">
            <v>0</v>
          </cell>
          <cell r="D163">
            <v>0</v>
          </cell>
          <cell r="E163">
            <v>0</v>
          </cell>
        </row>
        <row r="164">
          <cell r="A164" t="str">
            <v>21499</v>
          </cell>
          <cell r="B164" t="str">
            <v>其他交通运输支出</v>
          </cell>
          <cell r="C164">
            <v>0</v>
          </cell>
          <cell r="D164">
            <v>0</v>
          </cell>
          <cell r="E164">
            <v>0</v>
          </cell>
        </row>
        <row r="165">
          <cell r="A165" t="str">
            <v>215</v>
          </cell>
          <cell r="B165" t="str">
            <v>资源勘探工业信息等支出</v>
          </cell>
          <cell r="C165">
            <v>8600</v>
          </cell>
          <cell r="D165">
            <v>6330</v>
          </cell>
          <cell r="E165">
            <v>6100</v>
          </cell>
        </row>
        <row r="166">
          <cell r="A166" t="str">
            <v>21501</v>
          </cell>
          <cell r="B166" t="str">
            <v>资源勘探开发</v>
          </cell>
          <cell r="C166">
            <v>0</v>
          </cell>
          <cell r="D166">
            <v>0</v>
          </cell>
          <cell r="E166">
            <v>0</v>
          </cell>
        </row>
        <row r="167">
          <cell r="A167" t="str">
            <v>21502</v>
          </cell>
          <cell r="B167" t="str">
            <v>制造业</v>
          </cell>
          <cell r="C167">
            <v>0</v>
          </cell>
          <cell r="D167">
            <v>0</v>
          </cell>
          <cell r="E167">
            <v>0</v>
          </cell>
        </row>
        <row r="168">
          <cell r="A168" t="str">
            <v>21503</v>
          </cell>
          <cell r="B168" t="str">
            <v>建筑业</v>
          </cell>
          <cell r="C168">
            <v>0</v>
          </cell>
          <cell r="D168">
            <v>0</v>
          </cell>
          <cell r="E168">
            <v>0</v>
          </cell>
        </row>
        <row r="169">
          <cell r="A169" t="str">
            <v>21505</v>
          </cell>
          <cell r="B169" t="str">
            <v>工业和信息产业监管</v>
          </cell>
          <cell r="C169">
            <v>164</v>
          </cell>
          <cell r="D169">
            <v>330</v>
          </cell>
          <cell r="E169">
            <v>500</v>
          </cell>
        </row>
        <row r="170">
          <cell r="A170" t="str">
            <v>21507</v>
          </cell>
          <cell r="B170" t="str">
            <v>国有资产监管</v>
          </cell>
          <cell r="C170">
            <v>558</v>
          </cell>
          <cell r="D170">
            <v>1180</v>
          </cell>
          <cell r="E170">
            <v>0</v>
          </cell>
        </row>
        <row r="171">
          <cell r="A171" t="str">
            <v>21508</v>
          </cell>
          <cell r="B171" t="str">
            <v>支持中小企业发展和管理支出</v>
          </cell>
          <cell r="C171">
            <v>0</v>
          </cell>
          <cell r="D171">
            <v>4820</v>
          </cell>
          <cell r="E171">
            <v>0</v>
          </cell>
        </row>
        <row r="172">
          <cell r="A172" t="str">
            <v>21599</v>
          </cell>
          <cell r="B172" t="str">
            <v>其他资源勘探工业信息等支出</v>
          </cell>
          <cell r="C172">
            <v>7878</v>
          </cell>
          <cell r="D172">
            <v>0</v>
          </cell>
          <cell r="E172">
            <v>5600</v>
          </cell>
        </row>
        <row r="173">
          <cell r="A173" t="str">
            <v>216</v>
          </cell>
          <cell r="B173" t="str">
            <v>商业服务业等支出</v>
          </cell>
          <cell r="C173">
            <v>2500</v>
          </cell>
          <cell r="D173">
            <v>2130</v>
          </cell>
          <cell r="E173">
            <v>2500</v>
          </cell>
        </row>
        <row r="174">
          <cell r="A174" t="str">
            <v>21602</v>
          </cell>
          <cell r="B174" t="str">
            <v>商业流通事务</v>
          </cell>
          <cell r="C174">
            <v>0</v>
          </cell>
          <cell r="D174">
            <v>2070</v>
          </cell>
          <cell r="E174">
            <v>0</v>
          </cell>
        </row>
        <row r="175">
          <cell r="A175" t="str">
            <v>21606</v>
          </cell>
          <cell r="B175" t="str">
            <v>涉外发展服务支出</v>
          </cell>
          <cell r="C175">
            <v>0</v>
          </cell>
          <cell r="D175">
            <v>44</v>
          </cell>
          <cell r="E175">
            <v>0</v>
          </cell>
        </row>
        <row r="176">
          <cell r="A176" t="str">
            <v>21699</v>
          </cell>
          <cell r="B176" t="str">
            <v>其他商业服务业等支出</v>
          </cell>
          <cell r="C176">
            <v>2500</v>
          </cell>
          <cell r="D176">
            <v>16</v>
          </cell>
          <cell r="E176">
            <v>2500</v>
          </cell>
        </row>
        <row r="177">
          <cell r="A177" t="str">
            <v>217</v>
          </cell>
          <cell r="B177" t="str">
            <v>金融支出</v>
          </cell>
          <cell r="C177">
            <v>0</v>
          </cell>
          <cell r="D177">
            <v>0</v>
          </cell>
          <cell r="E177">
            <v>10</v>
          </cell>
        </row>
        <row r="178">
          <cell r="A178" t="str">
            <v>21701</v>
          </cell>
          <cell r="B178" t="str">
            <v>金融部门行政支出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21702</v>
          </cell>
          <cell r="B179" t="str">
            <v>金融部门监管支出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21703</v>
          </cell>
          <cell r="B180" t="str">
            <v>金融发展支出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21704</v>
          </cell>
          <cell r="B181" t="str">
            <v>金融调控支出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21799</v>
          </cell>
          <cell r="B182" t="str">
            <v>其他金融支出</v>
          </cell>
          <cell r="C182">
            <v>0</v>
          </cell>
          <cell r="D182">
            <v>0</v>
          </cell>
          <cell r="E182">
            <v>10</v>
          </cell>
        </row>
        <row r="183">
          <cell r="A183" t="str">
            <v>219</v>
          </cell>
          <cell r="B183" t="str">
            <v>援助其他地区支出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21901</v>
          </cell>
          <cell r="B184" t="str">
            <v>一般公共服务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21902</v>
          </cell>
          <cell r="B185" t="str">
            <v>教育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21903</v>
          </cell>
          <cell r="B186" t="str">
            <v>文化旅游体育与传媒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21904</v>
          </cell>
          <cell r="B187" t="str">
            <v>卫生健康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21905</v>
          </cell>
          <cell r="B188" t="str">
            <v>节能环保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21906</v>
          </cell>
          <cell r="B189" t="str">
            <v>农业农村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21907</v>
          </cell>
          <cell r="B190" t="str">
            <v>交通运输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21908</v>
          </cell>
          <cell r="B191" t="str">
            <v>住房保障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21999</v>
          </cell>
          <cell r="B192" t="str">
            <v>其他支出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220</v>
          </cell>
          <cell r="B193" t="str">
            <v>自然资源海洋气象等支出</v>
          </cell>
          <cell r="C193">
            <v>100</v>
          </cell>
          <cell r="D193">
            <v>85</v>
          </cell>
          <cell r="E193">
            <v>90</v>
          </cell>
        </row>
        <row r="194">
          <cell r="A194" t="str">
            <v>22001</v>
          </cell>
          <cell r="B194" t="str">
            <v>自然资源事务</v>
          </cell>
          <cell r="C194">
            <v>35</v>
          </cell>
          <cell r="D194">
            <v>50</v>
          </cell>
          <cell r="E194">
            <v>0</v>
          </cell>
        </row>
        <row r="195">
          <cell r="A195" t="str">
            <v>22005</v>
          </cell>
          <cell r="B195" t="str">
            <v>气象事务</v>
          </cell>
          <cell r="C195">
            <v>0</v>
          </cell>
          <cell r="D195">
            <v>35</v>
          </cell>
          <cell r="E195">
            <v>0</v>
          </cell>
        </row>
        <row r="196">
          <cell r="A196" t="str">
            <v>22099</v>
          </cell>
          <cell r="B196" t="str">
            <v>其他自然资源海洋气象等支出</v>
          </cell>
          <cell r="C196">
            <v>65</v>
          </cell>
          <cell r="D196">
            <v>0</v>
          </cell>
          <cell r="E196">
            <v>90</v>
          </cell>
        </row>
        <row r="197">
          <cell r="A197" t="str">
            <v>221</v>
          </cell>
          <cell r="B197" t="str">
            <v>住房保障支出</v>
          </cell>
          <cell r="C197">
            <v>9665</v>
          </cell>
          <cell r="D197">
            <v>12193</v>
          </cell>
          <cell r="E197">
            <v>9665</v>
          </cell>
        </row>
        <row r="198">
          <cell r="A198" t="str">
            <v>22101</v>
          </cell>
          <cell r="B198" t="str">
            <v>保障性安居工程支出</v>
          </cell>
          <cell r="C198">
            <v>3470</v>
          </cell>
          <cell r="D198">
            <v>8059</v>
          </cell>
          <cell r="E198">
            <v>9665</v>
          </cell>
        </row>
        <row r="199">
          <cell r="A199" t="str">
            <v>22102</v>
          </cell>
          <cell r="B199" t="str">
            <v>住房改革支出</v>
          </cell>
          <cell r="C199">
            <v>2465</v>
          </cell>
          <cell r="D199">
            <v>3972</v>
          </cell>
          <cell r="E199">
            <v>0</v>
          </cell>
        </row>
        <row r="200">
          <cell r="A200" t="str">
            <v>22103</v>
          </cell>
          <cell r="B200" t="str">
            <v>城乡社区住宅</v>
          </cell>
          <cell r="C200">
            <v>3730</v>
          </cell>
          <cell r="D200">
            <v>162</v>
          </cell>
          <cell r="E200">
            <v>0</v>
          </cell>
        </row>
        <row r="201">
          <cell r="A201" t="str">
            <v>222</v>
          </cell>
          <cell r="B201" t="str">
            <v>粮油物资储备支出</v>
          </cell>
          <cell r="C201">
            <v>0</v>
          </cell>
          <cell r="D201">
            <v>70</v>
          </cell>
          <cell r="E201">
            <v>0</v>
          </cell>
        </row>
        <row r="202">
          <cell r="A202" t="str">
            <v>22201</v>
          </cell>
          <cell r="B202" t="str">
            <v>粮油物资事务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22203</v>
          </cell>
          <cell r="B203" t="str">
            <v>能源储备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22204</v>
          </cell>
          <cell r="B204" t="str">
            <v>粮油储备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22205</v>
          </cell>
          <cell r="B205" t="str">
            <v>重要商品储备</v>
          </cell>
          <cell r="C205">
            <v>0</v>
          </cell>
          <cell r="D205">
            <v>70</v>
          </cell>
          <cell r="E205">
            <v>0</v>
          </cell>
        </row>
        <row r="206">
          <cell r="A206" t="str">
            <v>224</v>
          </cell>
          <cell r="B206" t="str">
            <v>灾害防治及应急管理支出</v>
          </cell>
          <cell r="C206">
            <v>1160</v>
          </cell>
          <cell r="D206">
            <v>3771</v>
          </cell>
          <cell r="E206">
            <v>2908</v>
          </cell>
        </row>
        <row r="207">
          <cell r="A207" t="str">
            <v>22401</v>
          </cell>
          <cell r="B207" t="str">
            <v>应急管理事务</v>
          </cell>
          <cell r="C207">
            <v>528</v>
          </cell>
          <cell r="D207">
            <v>839</v>
          </cell>
          <cell r="E207">
            <v>2868</v>
          </cell>
        </row>
        <row r="208">
          <cell r="A208" t="str">
            <v>22402</v>
          </cell>
          <cell r="B208" t="str">
            <v>消防救援事务</v>
          </cell>
          <cell r="C208">
            <v>400</v>
          </cell>
          <cell r="D208">
            <v>2281</v>
          </cell>
          <cell r="E208">
            <v>0</v>
          </cell>
        </row>
        <row r="209">
          <cell r="A209" t="str">
            <v>22404</v>
          </cell>
          <cell r="B209" t="str">
            <v>矿山安全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22405</v>
          </cell>
          <cell r="B210" t="str">
            <v>地震事务</v>
          </cell>
          <cell r="C210">
            <v>0</v>
          </cell>
          <cell r="D210">
            <v>0</v>
          </cell>
          <cell r="E210">
            <v>0</v>
          </cell>
        </row>
        <row r="211">
          <cell r="A211" t="str">
            <v>22406</v>
          </cell>
          <cell r="B211" t="str">
            <v>自然灾害防治</v>
          </cell>
          <cell r="C211">
            <v>0</v>
          </cell>
          <cell r="D211">
            <v>346</v>
          </cell>
          <cell r="E211">
            <v>32</v>
          </cell>
        </row>
        <row r="212">
          <cell r="A212" t="str">
            <v>22407</v>
          </cell>
          <cell r="B212" t="str">
            <v>自然灾害救灾及恢复重建支出</v>
          </cell>
          <cell r="C212">
            <v>207</v>
          </cell>
          <cell r="D212">
            <v>285</v>
          </cell>
          <cell r="E212">
            <v>8</v>
          </cell>
        </row>
        <row r="213">
          <cell r="A213" t="str">
            <v>22499</v>
          </cell>
          <cell r="B213" t="str">
            <v>其他灾害防治及应急管理支出</v>
          </cell>
          <cell r="C213">
            <v>25</v>
          </cell>
          <cell r="D213">
            <v>20</v>
          </cell>
          <cell r="E213">
            <v>0</v>
          </cell>
        </row>
        <row r="214">
          <cell r="A214" t="str">
            <v>227</v>
          </cell>
          <cell r="B214" t="str">
            <v>预备费</v>
          </cell>
          <cell r="C214">
            <v>2200</v>
          </cell>
          <cell r="D214">
            <v>0</v>
          </cell>
          <cell r="E214">
            <v>2200</v>
          </cell>
        </row>
        <row r="215">
          <cell r="A215" t="str">
            <v>229</v>
          </cell>
          <cell r="B215" t="str">
            <v>其他支出</v>
          </cell>
          <cell r="C215">
            <v>28793</v>
          </cell>
          <cell r="D215">
            <v>948</v>
          </cell>
          <cell r="E215">
            <v>3709</v>
          </cell>
        </row>
        <row r="216">
          <cell r="A216" t="str">
            <v>22902</v>
          </cell>
          <cell r="B216" t="str">
            <v>年初预留</v>
          </cell>
          <cell r="C216">
            <v>20321</v>
          </cell>
          <cell r="D216">
            <v>0</v>
          </cell>
          <cell r="E216">
            <v>2014</v>
          </cell>
        </row>
        <row r="217">
          <cell r="A217" t="str">
            <v>22999</v>
          </cell>
          <cell r="B217" t="str">
            <v>其他支出</v>
          </cell>
          <cell r="C217">
            <v>8472</v>
          </cell>
          <cell r="D217">
            <v>948</v>
          </cell>
          <cell r="E217">
            <v>1695</v>
          </cell>
        </row>
        <row r="218">
          <cell r="A218" t="str">
            <v>232</v>
          </cell>
          <cell r="B218" t="str">
            <v>债务付息支出</v>
          </cell>
          <cell r="C218">
            <v>6353</v>
          </cell>
          <cell r="D218">
            <v>2932</v>
          </cell>
          <cell r="E218">
            <v>5610</v>
          </cell>
        </row>
        <row r="219">
          <cell r="A219" t="str">
            <v>23203</v>
          </cell>
          <cell r="B219" t="str">
            <v>地方政府一般债务付息支出</v>
          </cell>
          <cell r="C219">
            <v>6353</v>
          </cell>
          <cell r="D219">
            <v>2932</v>
          </cell>
          <cell r="E219">
            <v>5610</v>
          </cell>
        </row>
        <row r="220">
          <cell r="A220" t="str">
            <v>233</v>
          </cell>
          <cell r="B220" t="str">
            <v>债务发行费用支出</v>
          </cell>
          <cell r="C220">
            <v>0</v>
          </cell>
          <cell r="D220">
            <v>10</v>
          </cell>
          <cell r="E220">
            <v>0</v>
          </cell>
        </row>
        <row r="221">
          <cell r="A221" t="str">
            <v>23303</v>
          </cell>
          <cell r="B221" t="str">
            <v>地方政府一般债务发行费用支出</v>
          </cell>
          <cell r="C221">
            <v>0</v>
          </cell>
          <cell r="D221">
            <v>10</v>
          </cell>
          <cell r="E221">
            <v>0</v>
          </cell>
        </row>
      </sheetData>
      <sheetData sheetId="8"/>
      <sheetData sheetId="9">
        <row r="8">
          <cell r="L8">
            <v>17430</v>
          </cell>
        </row>
        <row r="104">
          <cell r="L104">
            <v>0</v>
          </cell>
        </row>
      </sheetData>
      <sheetData sheetId="10"/>
      <sheetData sheetId="11"/>
      <sheetData sheetId="12"/>
      <sheetData sheetId="13">
        <row r="6">
          <cell r="D6">
            <v>2179</v>
          </cell>
          <cell r="E6">
            <v>18506</v>
          </cell>
          <cell r="F6">
            <v>570</v>
          </cell>
        </row>
        <row r="6">
          <cell r="H6">
            <v>4000</v>
          </cell>
        </row>
        <row r="6">
          <cell r="L6">
            <v>9353</v>
          </cell>
        </row>
        <row r="9">
          <cell r="D9">
            <v>152</v>
          </cell>
          <cell r="E9">
            <v>606</v>
          </cell>
          <cell r="F9">
            <v>39</v>
          </cell>
        </row>
        <row r="9">
          <cell r="L9">
            <v>24</v>
          </cell>
        </row>
        <row r="10">
          <cell r="D10">
            <v>1983</v>
          </cell>
          <cell r="E10">
            <v>7981</v>
          </cell>
          <cell r="F10">
            <v>519</v>
          </cell>
        </row>
        <row r="10">
          <cell r="H10">
            <v>7848</v>
          </cell>
        </row>
        <row r="10">
          <cell r="L10">
            <v>4318</v>
          </cell>
        </row>
        <row r="11">
          <cell r="D11">
            <v>1179</v>
          </cell>
          <cell r="E11">
            <v>720</v>
          </cell>
          <cell r="F11">
            <v>47</v>
          </cell>
        </row>
        <row r="11">
          <cell r="L11">
            <v>28</v>
          </cell>
        </row>
        <row r="12">
          <cell r="D12">
            <v>1229</v>
          </cell>
          <cell r="E12">
            <v>922</v>
          </cell>
          <cell r="F12">
            <v>60</v>
          </cell>
        </row>
        <row r="12">
          <cell r="L12">
            <v>36</v>
          </cell>
        </row>
        <row r="13">
          <cell r="D13">
            <v>1968</v>
          </cell>
          <cell r="E13">
            <v>5905</v>
          </cell>
          <cell r="F13">
            <v>384</v>
          </cell>
        </row>
        <row r="13">
          <cell r="H13">
            <v>8468</v>
          </cell>
        </row>
        <row r="13">
          <cell r="L13">
            <v>5719</v>
          </cell>
        </row>
        <row r="14">
          <cell r="D14">
            <v>1115</v>
          </cell>
          <cell r="E14">
            <v>9485</v>
          </cell>
          <cell r="F14">
            <v>291</v>
          </cell>
        </row>
        <row r="14">
          <cell r="L14">
            <v>2178</v>
          </cell>
        </row>
        <row r="15">
          <cell r="D15">
            <v>340</v>
          </cell>
          <cell r="E15">
            <v>1371</v>
          </cell>
          <cell r="F15">
            <v>2089</v>
          </cell>
        </row>
        <row r="15">
          <cell r="L15">
            <v>55</v>
          </cell>
        </row>
        <row r="16">
          <cell r="D16">
            <v>10386</v>
          </cell>
          <cell r="E16">
            <v>11602</v>
          </cell>
          <cell r="F16">
            <v>624</v>
          </cell>
        </row>
        <row r="16">
          <cell r="H16">
            <v>9547</v>
          </cell>
        </row>
        <row r="16">
          <cell r="L16">
            <v>2402</v>
          </cell>
        </row>
        <row r="17">
          <cell r="D17">
            <v>647</v>
          </cell>
          <cell r="E17">
            <v>6604</v>
          </cell>
          <cell r="F17">
            <v>169</v>
          </cell>
        </row>
        <row r="17">
          <cell r="L17">
            <v>104</v>
          </cell>
        </row>
        <row r="18">
          <cell r="D18">
            <v>167</v>
          </cell>
          <cell r="E18">
            <v>675</v>
          </cell>
          <cell r="F18">
            <v>1043</v>
          </cell>
        </row>
        <row r="18">
          <cell r="L18">
            <v>27</v>
          </cell>
        </row>
        <row r="19">
          <cell r="D19">
            <v>347</v>
          </cell>
          <cell r="E19">
            <v>3397</v>
          </cell>
          <cell r="F19">
            <v>91</v>
          </cell>
        </row>
        <row r="19">
          <cell r="L19">
            <v>56</v>
          </cell>
        </row>
        <row r="20">
          <cell r="D20">
            <v>142</v>
          </cell>
          <cell r="E20">
            <v>574</v>
          </cell>
          <cell r="F20">
            <v>37</v>
          </cell>
        </row>
        <row r="20">
          <cell r="L20">
            <v>23</v>
          </cell>
        </row>
        <row r="23">
          <cell r="D23">
            <v>6</v>
          </cell>
          <cell r="E23">
            <v>24</v>
          </cell>
          <cell r="F23">
            <v>1</v>
          </cell>
        </row>
        <row r="23">
          <cell r="L23">
            <v>1</v>
          </cell>
        </row>
        <row r="24">
          <cell r="D24">
            <v>1550</v>
          </cell>
          <cell r="E24">
            <v>2630</v>
          </cell>
          <cell r="F24">
            <v>1144</v>
          </cell>
        </row>
        <row r="24">
          <cell r="H24">
            <v>584</v>
          </cell>
        </row>
        <row r="24">
          <cell r="L24">
            <v>88</v>
          </cell>
        </row>
        <row r="26">
          <cell r="D26">
            <v>165</v>
          </cell>
          <cell r="E26">
            <v>667</v>
          </cell>
          <cell r="F26">
            <v>43</v>
          </cell>
        </row>
        <row r="26">
          <cell r="L26">
            <v>26</v>
          </cell>
        </row>
        <row r="28">
          <cell r="D28">
            <v>21</v>
          </cell>
          <cell r="E28">
            <v>1413</v>
          </cell>
          <cell r="F28">
            <v>5</v>
          </cell>
        </row>
        <row r="28">
          <cell r="L28">
            <v>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6"/>
  <sheetViews>
    <sheetView showGridLines="0" showZeros="0" zoomScale="55" zoomScaleNormal="55" workbookViewId="0">
      <pane xSplit="4" ySplit="6" topLeftCell="E7" activePane="bottomRight" state="frozen"/>
      <selection/>
      <selection pane="topRight"/>
      <selection pane="bottomLeft"/>
      <selection pane="bottomRight" activeCell="B56" sqref="B56"/>
    </sheetView>
  </sheetViews>
  <sheetFormatPr defaultColWidth="8.8" defaultRowHeight="13.5"/>
  <cols>
    <col min="1" max="18" width="15.625" style="3" customWidth="1"/>
    <col min="19" max="16384" width="8.8" style="3"/>
  </cols>
  <sheetData>
    <row r="1" s="3" customFormat="1" ht="25" customHeight="1" spans="1:18">
      <c r="A1" s="4"/>
      <c r="B1" s="88">
        <v>0</v>
      </c>
      <c r="R1" s="89">
        <v>0</v>
      </c>
    </row>
    <row r="2" s="1" customFormat="1" ht="25" customHeight="1" spans="1:18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3" customFormat="1" ht="25" customHeight="1" spans="1:18">
      <c r="B3" s="90">
        <v>0</v>
      </c>
      <c r="R3" s="6" t="s">
        <v>1</v>
      </c>
    </row>
    <row r="4" s="2" customFormat="1" ht="25" customHeight="1" spans="1:18">
      <c r="A4" s="91" t="s">
        <v>2</v>
      </c>
      <c r="B4" s="92"/>
      <c r="C4" s="8" t="s">
        <v>3</v>
      </c>
      <c r="D4" s="13">
        <v>501</v>
      </c>
      <c r="E4" s="13">
        <v>502</v>
      </c>
      <c r="F4" s="13">
        <v>503</v>
      </c>
      <c r="G4" s="13">
        <v>504</v>
      </c>
      <c r="H4" s="13">
        <v>505</v>
      </c>
      <c r="I4" s="13">
        <v>506</v>
      </c>
      <c r="J4" s="13">
        <v>507</v>
      </c>
      <c r="K4" s="13">
        <v>508</v>
      </c>
      <c r="L4" s="13">
        <v>509</v>
      </c>
      <c r="M4" s="13">
        <v>510</v>
      </c>
      <c r="N4" s="13">
        <v>511</v>
      </c>
      <c r="O4" s="13">
        <v>512</v>
      </c>
      <c r="P4" s="13">
        <v>513</v>
      </c>
      <c r="Q4" s="13">
        <v>514</v>
      </c>
      <c r="R4" s="13">
        <v>599</v>
      </c>
    </row>
    <row r="5" s="2" customFormat="1" ht="25" customHeight="1" spans="1:18">
      <c r="A5" s="20" t="s">
        <v>4</v>
      </c>
      <c r="B5" s="7" t="s">
        <v>5</v>
      </c>
      <c r="C5" s="8"/>
      <c r="D5" s="23" t="s">
        <v>6</v>
      </c>
      <c r="E5" s="23" t="s">
        <v>7</v>
      </c>
      <c r="F5" s="20" t="s">
        <v>8</v>
      </c>
      <c r="G5" s="20" t="s">
        <v>9</v>
      </c>
      <c r="H5" s="23" t="s">
        <v>10</v>
      </c>
      <c r="I5" s="23" t="s">
        <v>11</v>
      </c>
      <c r="J5" s="23" t="s">
        <v>12</v>
      </c>
      <c r="K5" s="23" t="s">
        <v>13</v>
      </c>
      <c r="L5" s="23" t="s">
        <v>14</v>
      </c>
      <c r="M5" s="23" t="s">
        <v>15</v>
      </c>
      <c r="N5" s="23" t="s">
        <v>16</v>
      </c>
      <c r="O5" s="23" t="s">
        <v>17</v>
      </c>
      <c r="P5" s="23" t="s">
        <v>18</v>
      </c>
      <c r="Q5" s="23" t="s">
        <v>19</v>
      </c>
      <c r="R5" s="23" t="s">
        <v>20</v>
      </c>
    </row>
    <row r="6" s="3" customFormat="1" ht="25" customHeight="1" spans="1:18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="3" customFormat="1" ht="25" customHeight="1" spans="1:18">
      <c r="A7" s="13" t="s">
        <v>21</v>
      </c>
      <c r="B7" s="26" t="s">
        <v>22</v>
      </c>
      <c r="C7" s="93">
        <v>29837</v>
      </c>
      <c r="D7" s="28">
        <v>15091</v>
      </c>
      <c r="E7" s="28">
        <v>6143</v>
      </c>
      <c r="F7" s="28">
        <v>809</v>
      </c>
      <c r="G7" s="28">
        <v>808</v>
      </c>
      <c r="H7" s="28">
        <v>5272</v>
      </c>
      <c r="I7" s="28">
        <v>131</v>
      </c>
      <c r="J7" s="28">
        <v>500</v>
      </c>
      <c r="K7" s="28">
        <v>320</v>
      </c>
      <c r="L7" s="28">
        <v>45</v>
      </c>
      <c r="M7" s="28">
        <v>718</v>
      </c>
      <c r="N7" s="94"/>
      <c r="O7" s="94"/>
      <c r="P7" s="94"/>
      <c r="Q7" s="94"/>
      <c r="R7" s="95">
        <v>0</v>
      </c>
    </row>
    <row r="8" s="3" customFormat="1" ht="25" customHeight="1" spans="1:18">
      <c r="A8" s="13" t="s">
        <v>23</v>
      </c>
      <c r="B8" s="26" t="s">
        <v>24</v>
      </c>
      <c r="C8" s="93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94"/>
      <c r="O8" s="94"/>
      <c r="P8" s="94"/>
      <c r="Q8" s="94"/>
      <c r="R8" s="95">
        <v>0</v>
      </c>
    </row>
    <row r="9" s="3" customFormat="1" ht="25" customHeight="1" spans="1:18">
      <c r="A9" s="13" t="s">
        <v>25</v>
      </c>
      <c r="B9" s="26" t="s">
        <v>26</v>
      </c>
      <c r="C9" s="93">
        <v>120</v>
      </c>
      <c r="D9" s="28">
        <v>0</v>
      </c>
      <c r="E9" s="28">
        <v>120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94"/>
      <c r="O9" s="94"/>
      <c r="P9" s="94"/>
      <c r="Q9" s="94"/>
      <c r="R9" s="95">
        <v>0</v>
      </c>
    </row>
    <row r="10" s="3" customFormat="1" ht="25" customHeight="1" spans="1:18">
      <c r="A10" s="13" t="s">
        <v>27</v>
      </c>
      <c r="B10" s="26" t="s">
        <v>28</v>
      </c>
      <c r="C10" s="93">
        <v>500</v>
      </c>
      <c r="D10" s="28">
        <v>297</v>
      </c>
      <c r="E10" s="28">
        <v>193</v>
      </c>
      <c r="F10" s="28">
        <v>6</v>
      </c>
      <c r="G10" s="28">
        <v>3</v>
      </c>
      <c r="H10" s="28">
        <v>0</v>
      </c>
      <c r="I10" s="28">
        <v>0</v>
      </c>
      <c r="J10" s="28"/>
      <c r="K10" s="28"/>
      <c r="L10" s="28">
        <v>1</v>
      </c>
      <c r="M10" s="28">
        <v>0</v>
      </c>
      <c r="N10" s="94"/>
      <c r="O10" s="94"/>
      <c r="P10" s="94"/>
      <c r="Q10" s="94"/>
      <c r="R10" s="95">
        <v>0</v>
      </c>
    </row>
    <row r="11" s="3" customFormat="1" ht="25" customHeight="1" spans="1:18">
      <c r="A11" s="13" t="s">
        <v>29</v>
      </c>
      <c r="B11" s="26" t="s">
        <v>30</v>
      </c>
      <c r="C11" s="93">
        <v>45600</v>
      </c>
      <c r="D11" s="28">
        <v>11829</v>
      </c>
      <c r="E11" s="28">
        <v>9851</v>
      </c>
      <c r="F11" s="28">
        <v>2641</v>
      </c>
      <c r="G11" s="28">
        <v>3475</v>
      </c>
      <c r="H11" s="28">
        <v>11687</v>
      </c>
      <c r="I11" s="28">
        <v>188</v>
      </c>
      <c r="J11" s="28">
        <v>147</v>
      </c>
      <c r="K11" s="28">
        <v>1132</v>
      </c>
      <c r="L11" s="28">
        <v>231</v>
      </c>
      <c r="M11" s="28">
        <v>4419</v>
      </c>
      <c r="N11" s="94"/>
      <c r="O11" s="94"/>
      <c r="P11" s="94"/>
      <c r="Q11" s="94"/>
      <c r="R11" s="95">
        <v>0</v>
      </c>
    </row>
    <row r="12" s="3" customFormat="1" ht="25" customHeight="1" spans="1:18">
      <c r="A12" s="13" t="s">
        <v>31</v>
      </c>
      <c r="B12" s="26" t="s">
        <v>32</v>
      </c>
      <c r="C12" s="93">
        <v>3088</v>
      </c>
      <c r="D12" s="28">
        <v>94</v>
      </c>
      <c r="E12" s="28">
        <v>321</v>
      </c>
      <c r="F12" s="28">
        <v>21</v>
      </c>
      <c r="G12" s="28">
        <v>113</v>
      </c>
      <c r="H12" s="28">
        <v>0</v>
      </c>
      <c r="I12" s="28">
        <v>0</v>
      </c>
      <c r="J12" s="28">
        <v>1490</v>
      </c>
      <c r="K12" s="28">
        <v>1037</v>
      </c>
      <c r="L12" s="28">
        <v>12</v>
      </c>
      <c r="M12" s="28"/>
      <c r="N12" s="94"/>
      <c r="O12" s="94"/>
      <c r="P12" s="94"/>
      <c r="Q12" s="94"/>
      <c r="R12" s="95">
        <v>0</v>
      </c>
    </row>
    <row r="13" s="3" customFormat="1" ht="25" customHeight="1" spans="1:18">
      <c r="A13" s="13" t="s">
        <v>33</v>
      </c>
      <c r="B13" s="26" t="s">
        <v>34</v>
      </c>
      <c r="C13" s="93">
        <v>8170</v>
      </c>
      <c r="D13" s="28">
        <v>228</v>
      </c>
      <c r="E13" s="28">
        <v>604</v>
      </c>
      <c r="F13" s="28">
        <v>1369</v>
      </c>
      <c r="G13" s="28">
        <v>5049</v>
      </c>
      <c r="H13" s="28">
        <v>0</v>
      </c>
      <c r="I13" s="28">
        <v>0</v>
      </c>
      <c r="J13" s="28">
        <v>571</v>
      </c>
      <c r="K13" s="28">
        <v>296</v>
      </c>
      <c r="L13" s="28">
        <v>32</v>
      </c>
      <c r="M13" s="28">
        <v>21</v>
      </c>
      <c r="N13" s="94"/>
      <c r="O13" s="94"/>
      <c r="P13" s="94"/>
      <c r="Q13" s="94"/>
      <c r="R13" s="95">
        <v>0</v>
      </c>
    </row>
    <row r="14" s="3" customFormat="1" ht="25" customHeight="1" spans="1:18">
      <c r="A14" s="13" t="s">
        <v>35</v>
      </c>
      <c r="B14" s="26" t="s">
        <v>36</v>
      </c>
      <c r="C14" s="93">
        <v>29656</v>
      </c>
      <c r="D14" s="28">
        <v>2577</v>
      </c>
      <c r="E14" s="28">
        <v>3768</v>
      </c>
      <c r="F14" s="28">
        <v>440</v>
      </c>
      <c r="G14" s="28">
        <v>387</v>
      </c>
      <c r="H14" s="28">
        <v>705</v>
      </c>
      <c r="I14" s="28">
        <v>37</v>
      </c>
      <c r="J14" s="28">
        <v>0</v>
      </c>
      <c r="K14" s="28">
        <v>78</v>
      </c>
      <c r="L14" s="28">
        <v>13554</v>
      </c>
      <c r="M14" s="28">
        <v>8110</v>
      </c>
      <c r="N14" s="94"/>
      <c r="O14" s="94"/>
      <c r="P14" s="94"/>
      <c r="Q14" s="94"/>
      <c r="R14" s="95">
        <v>0</v>
      </c>
    </row>
    <row r="15" s="3" customFormat="1" ht="25" customHeight="1" spans="1:18">
      <c r="A15" s="13" t="s">
        <v>37</v>
      </c>
      <c r="B15" s="26" t="s">
        <v>38</v>
      </c>
      <c r="C15" s="93">
        <v>21072</v>
      </c>
      <c r="D15" s="28">
        <v>1181</v>
      </c>
      <c r="E15" s="28">
        <v>9443</v>
      </c>
      <c r="F15" s="28">
        <v>290</v>
      </c>
      <c r="G15" s="28">
        <v>1575</v>
      </c>
      <c r="H15" s="28">
        <v>0</v>
      </c>
      <c r="I15" s="28">
        <v>0</v>
      </c>
      <c r="J15" s="28">
        <v>4146</v>
      </c>
      <c r="K15" s="28">
        <v>513</v>
      </c>
      <c r="L15" s="28">
        <v>2168</v>
      </c>
      <c r="M15" s="28">
        <v>1756</v>
      </c>
      <c r="N15" s="94"/>
      <c r="O15" s="94"/>
      <c r="P15" s="94"/>
      <c r="Q15" s="94"/>
      <c r="R15" s="95">
        <v>0</v>
      </c>
    </row>
    <row r="16" s="3" customFormat="1" ht="25" customHeight="1" spans="1:18">
      <c r="A16" s="13" t="s">
        <v>39</v>
      </c>
      <c r="B16" s="26" t="s">
        <v>40</v>
      </c>
      <c r="C16" s="93">
        <v>1677</v>
      </c>
      <c r="D16" s="28"/>
      <c r="E16" s="28">
        <v>361</v>
      </c>
      <c r="F16" s="28">
        <v>550</v>
      </c>
      <c r="G16" s="28">
        <v>127</v>
      </c>
      <c r="H16" s="28">
        <v>52</v>
      </c>
      <c r="I16" s="28">
        <v>0</v>
      </c>
      <c r="J16" s="28">
        <v>335</v>
      </c>
      <c r="K16" s="28">
        <v>41</v>
      </c>
      <c r="L16" s="28">
        <v>14</v>
      </c>
      <c r="M16" s="28">
        <v>197</v>
      </c>
      <c r="N16" s="94"/>
      <c r="O16" s="94"/>
      <c r="P16" s="94"/>
      <c r="Q16" s="94"/>
      <c r="R16" s="95">
        <v>0</v>
      </c>
    </row>
    <row r="17" s="3" customFormat="1" ht="25" customHeight="1" spans="1:18">
      <c r="A17" s="13" t="s">
        <v>41</v>
      </c>
      <c r="B17" s="26" t="s">
        <v>42</v>
      </c>
      <c r="C17" s="93">
        <v>36740</v>
      </c>
      <c r="D17" s="28">
        <v>5552</v>
      </c>
      <c r="E17" s="28">
        <v>8022</v>
      </c>
      <c r="F17" s="28">
        <v>431</v>
      </c>
      <c r="G17" s="28">
        <v>2342</v>
      </c>
      <c r="H17" s="28">
        <v>14601</v>
      </c>
      <c r="I17" s="28">
        <v>313</v>
      </c>
      <c r="J17" s="28">
        <v>1326</v>
      </c>
      <c r="K17" s="28">
        <v>1538</v>
      </c>
      <c r="L17" s="28">
        <v>1661</v>
      </c>
      <c r="M17" s="28">
        <v>954</v>
      </c>
      <c r="N17" s="94"/>
      <c r="O17" s="94"/>
      <c r="P17" s="94"/>
      <c r="Q17" s="94"/>
      <c r="R17" s="95">
        <v>0</v>
      </c>
    </row>
    <row r="18" s="3" customFormat="1" ht="25" customHeight="1" spans="1:18">
      <c r="A18" s="13" t="s">
        <v>43</v>
      </c>
      <c r="B18" s="26" t="s">
        <v>44</v>
      </c>
      <c r="C18" s="93">
        <v>9460</v>
      </c>
      <c r="D18" s="28">
        <v>200</v>
      </c>
      <c r="E18" s="28">
        <v>4653</v>
      </c>
      <c r="F18" s="28">
        <v>119</v>
      </c>
      <c r="G18" s="28">
        <v>647</v>
      </c>
      <c r="H18" s="28">
        <v>0</v>
      </c>
      <c r="I18" s="28">
        <v>0</v>
      </c>
      <c r="J18" s="28">
        <v>1703</v>
      </c>
      <c r="K18" s="28">
        <v>211</v>
      </c>
      <c r="L18" s="28">
        <v>1927</v>
      </c>
      <c r="M18" s="28"/>
      <c r="N18" s="94"/>
      <c r="O18" s="94"/>
      <c r="P18" s="94"/>
      <c r="Q18" s="94"/>
      <c r="R18" s="95">
        <v>0</v>
      </c>
    </row>
    <row r="19" s="3" customFormat="1" ht="25" customHeight="1" spans="1:18">
      <c r="A19" s="13" t="s">
        <v>45</v>
      </c>
      <c r="B19" s="26" t="s">
        <v>46</v>
      </c>
      <c r="C19" s="93">
        <v>7800</v>
      </c>
      <c r="D19" s="28"/>
      <c r="E19" s="28">
        <v>1654</v>
      </c>
      <c r="F19" s="28">
        <v>2555</v>
      </c>
      <c r="G19" s="28">
        <v>1765</v>
      </c>
      <c r="H19" s="28">
        <v>0</v>
      </c>
      <c r="I19" s="28">
        <v>0</v>
      </c>
      <c r="J19" s="28">
        <v>1531</v>
      </c>
      <c r="K19" s="28">
        <v>189</v>
      </c>
      <c r="L19" s="28">
        <v>106</v>
      </c>
      <c r="M19" s="28">
        <v>0</v>
      </c>
      <c r="N19" s="94"/>
      <c r="O19" s="94"/>
      <c r="P19" s="94"/>
      <c r="Q19" s="94"/>
      <c r="R19" s="95">
        <v>0</v>
      </c>
    </row>
    <row r="20" s="3" customFormat="1" ht="25" customHeight="1" spans="1:18">
      <c r="A20" s="13" t="s">
        <v>47</v>
      </c>
      <c r="B20" s="30" t="s">
        <v>48</v>
      </c>
      <c r="C20" s="93">
        <v>4094</v>
      </c>
      <c r="D20" s="28">
        <v>165</v>
      </c>
      <c r="E20" s="28">
        <v>1156</v>
      </c>
      <c r="F20" s="28">
        <v>119</v>
      </c>
      <c r="G20" s="28">
        <v>168</v>
      </c>
      <c r="H20" s="28">
        <v>0</v>
      </c>
      <c r="I20" s="28">
        <v>0</v>
      </c>
      <c r="J20" s="28">
        <v>441</v>
      </c>
      <c r="K20" s="28">
        <v>2026</v>
      </c>
      <c r="L20" s="28">
        <v>19</v>
      </c>
      <c r="M20" s="28"/>
      <c r="N20" s="94"/>
      <c r="O20" s="94"/>
      <c r="P20" s="94"/>
      <c r="Q20" s="94"/>
      <c r="R20" s="95">
        <v>0</v>
      </c>
    </row>
    <row r="21" s="3" customFormat="1" ht="25" customHeight="1" spans="1:18">
      <c r="A21" s="13" t="s">
        <v>49</v>
      </c>
      <c r="B21" s="30" t="s">
        <v>50</v>
      </c>
      <c r="C21" s="93">
        <v>1850</v>
      </c>
      <c r="D21" s="28"/>
      <c r="E21" s="28">
        <v>337</v>
      </c>
      <c r="F21" s="28">
        <v>22</v>
      </c>
      <c r="G21" s="28">
        <v>119</v>
      </c>
      <c r="H21" s="28">
        <v>0</v>
      </c>
      <c r="I21" s="28">
        <v>59</v>
      </c>
      <c r="J21" s="28">
        <v>783</v>
      </c>
      <c r="K21" s="28">
        <v>516</v>
      </c>
      <c r="L21" s="28">
        <v>14</v>
      </c>
      <c r="M21" s="28"/>
      <c r="N21" s="94"/>
      <c r="O21" s="94"/>
      <c r="P21" s="94"/>
      <c r="Q21" s="94"/>
      <c r="R21" s="95">
        <v>0</v>
      </c>
    </row>
    <row r="22" s="3" customFormat="1" ht="25" customHeight="1" spans="1:18">
      <c r="A22" s="13" t="s">
        <v>51</v>
      </c>
      <c r="B22" s="31" t="s">
        <v>52</v>
      </c>
      <c r="C22" s="93">
        <v>10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10</v>
      </c>
      <c r="K22" s="28">
        <v>0</v>
      </c>
      <c r="L22" s="28">
        <v>0</v>
      </c>
      <c r="M22" s="28">
        <v>0</v>
      </c>
      <c r="N22" s="94"/>
      <c r="O22" s="94"/>
      <c r="P22" s="94"/>
      <c r="Q22" s="94"/>
      <c r="R22" s="95">
        <v>0</v>
      </c>
    </row>
    <row r="23" s="3" customFormat="1" ht="25" customHeight="1" spans="1:18">
      <c r="A23" s="13" t="s">
        <v>53</v>
      </c>
      <c r="B23" s="30" t="s">
        <v>54</v>
      </c>
      <c r="C23" s="93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94"/>
      <c r="O23" s="94"/>
      <c r="P23" s="94"/>
      <c r="Q23" s="94"/>
      <c r="R23" s="95">
        <v>0</v>
      </c>
    </row>
    <row r="24" s="3" customFormat="1" ht="25" customHeight="1" spans="1:18">
      <c r="A24" s="13" t="s">
        <v>55</v>
      </c>
      <c r="B24" s="30" t="s">
        <v>56</v>
      </c>
      <c r="C24" s="93">
        <v>180</v>
      </c>
      <c r="D24" s="28"/>
      <c r="E24" s="28">
        <v>123</v>
      </c>
      <c r="F24" s="28">
        <v>1</v>
      </c>
      <c r="G24" s="28">
        <v>8</v>
      </c>
      <c r="H24" s="28">
        <v>0</v>
      </c>
      <c r="I24" s="28">
        <v>0</v>
      </c>
      <c r="J24" s="28">
        <v>20</v>
      </c>
      <c r="K24" s="28">
        <v>3</v>
      </c>
      <c r="L24" s="28">
        <v>25</v>
      </c>
      <c r="M24" s="28">
        <v>0</v>
      </c>
      <c r="N24" s="94"/>
      <c r="O24" s="94"/>
      <c r="P24" s="94"/>
      <c r="Q24" s="94"/>
      <c r="R24" s="95">
        <v>0</v>
      </c>
    </row>
    <row r="25" s="3" customFormat="1" ht="25" customHeight="1" spans="1:18">
      <c r="A25" s="13" t="s">
        <v>57</v>
      </c>
      <c r="B25" s="30" t="s">
        <v>58</v>
      </c>
      <c r="C25" s="93">
        <v>11655</v>
      </c>
      <c r="D25" s="28">
        <v>1234</v>
      </c>
      <c r="E25" s="28">
        <v>3163</v>
      </c>
      <c r="F25" s="28">
        <v>1376</v>
      </c>
      <c r="G25" s="28">
        <v>938</v>
      </c>
      <c r="H25" s="28">
        <v>702</v>
      </c>
      <c r="I25" s="28">
        <v>0</v>
      </c>
      <c r="J25" s="28">
        <v>2471</v>
      </c>
      <c r="K25" s="28">
        <v>305</v>
      </c>
      <c r="L25" s="28">
        <v>1360</v>
      </c>
      <c r="M25" s="28">
        <v>106</v>
      </c>
      <c r="N25" s="94"/>
      <c r="O25" s="94"/>
      <c r="P25" s="94"/>
      <c r="Q25" s="94"/>
      <c r="R25" s="95">
        <v>0</v>
      </c>
    </row>
    <row r="26" s="3" customFormat="1" ht="25" customHeight="1" spans="1:18">
      <c r="A26" s="13" t="s">
        <v>59</v>
      </c>
      <c r="B26" s="30" t="s">
        <v>60</v>
      </c>
      <c r="C26" s="93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94"/>
      <c r="O26" s="94"/>
      <c r="P26" s="94"/>
      <c r="Q26" s="94"/>
      <c r="R26" s="95">
        <v>0</v>
      </c>
    </row>
    <row r="27" s="3" customFormat="1" ht="25" customHeight="1" spans="1:18">
      <c r="A27" s="13" t="s">
        <v>61</v>
      </c>
      <c r="B27" s="30" t="s">
        <v>62</v>
      </c>
      <c r="C27" s="93">
        <v>3500</v>
      </c>
      <c r="D27" s="28">
        <v>271</v>
      </c>
      <c r="E27" s="28">
        <v>1849</v>
      </c>
      <c r="F27" s="28">
        <v>55</v>
      </c>
      <c r="G27" s="28">
        <v>999</v>
      </c>
      <c r="H27" s="28">
        <v>0</v>
      </c>
      <c r="I27" s="28">
        <v>0</v>
      </c>
      <c r="J27" s="28">
        <v>86</v>
      </c>
      <c r="K27" s="28">
        <v>98</v>
      </c>
      <c r="L27" s="28">
        <v>142</v>
      </c>
      <c r="M27" s="28">
        <v>0</v>
      </c>
      <c r="N27" s="94"/>
      <c r="O27" s="94"/>
      <c r="P27" s="94"/>
      <c r="Q27" s="94"/>
      <c r="R27" s="95">
        <v>0</v>
      </c>
    </row>
    <row r="28" s="3" customFormat="1" ht="25" customHeight="1" spans="1:18">
      <c r="A28" s="13" t="s">
        <v>63</v>
      </c>
      <c r="B28" s="31" t="s">
        <v>64</v>
      </c>
      <c r="C28" s="93">
        <v>2200</v>
      </c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6">
        <v>2200</v>
      </c>
      <c r="R28" s="94"/>
    </row>
    <row r="29" s="3" customFormat="1" ht="25" customHeight="1" spans="1:18">
      <c r="A29" s="13" t="s">
        <v>65</v>
      </c>
      <c r="B29" s="26" t="s">
        <v>20</v>
      </c>
      <c r="C29" s="93">
        <v>985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94"/>
      <c r="O29" s="94"/>
      <c r="P29" s="94"/>
      <c r="Q29" s="96">
        <v>0</v>
      </c>
      <c r="R29" s="95">
        <v>985</v>
      </c>
    </row>
    <row r="30" s="3" customFormat="1" ht="25" customHeight="1" spans="1:18">
      <c r="A30" s="13" t="s">
        <v>66</v>
      </c>
      <c r="B30" s="30" t="s">
        <v>67</v>
      </c>
      <c r="C30" s="93">
        <v>3386</v>
      </c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6">
        <v>3386</v>
      </c>
      <c r="O30" s="94"/>
      <c r="P30" s="94"/>
      <c r="Q30" s="94"/>
      <c r="R30" s="94"/>
    </row>
    <row r="31" s="3" customFormat="1" ht="25" customHeight="1" spans="1:18">
      <c r="A31" s="13" t="s">
        <v>68</v>
      </c>
      <c r="B31" s="30" t="s">
        <v>69</v>
      </c>
      <c r="C31" s="93">
        <v>20</v>
      </c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6">
        <v>20</v>
      </c>
      <c r="O31" s="94"/>
      <c r="P31" s="94"/>
      <c r="Q31" s="94"/>
      <c r="R31" s="94"/>
    </row>
    <row r="32" s="3" customFormat="1" ht="25" customHeight="1" spans="1:18">
      <c r="A32" s="13" t="s">
        <v>70</v>
      </c>
      <c r="B32" s="26" t="s">
        <v>18</v>
      </c>
      <c r="C32" s="93">
        <v>17678</v>
      </c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6">
        <v>17678</v>
      </c>
      <c r="Q32" s="94"/>
      <c r="R32" s="94"/>
    </row>
    <row r="33" s="3" customFormat="1" ht="25" customHeight="1" spans="1:18">
      <c r="A33" s="13" t="s">
        <v>71</v>
      </c>
      <c r="B33" s="26" t="s">
        <v>17</v>
      </c>
      <c r="C33" s="93">
        <v>3221</v>
      </c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6">
        <v>3221</v>
      </c>
      <c r="P33" s="94"/>
      <c r="Q33" s="94"/>
      <c r="R33" s="94"/>
    </row>
    <row r="34" s="3" customFormat="1" ht="25" customHeight="1" spans="1:18">
      <c r="A34" s="97"/>
      <c r="B34" s="98"/>
      <c r="C34" s="99"/>
      <c r="D34" s="99"/>
      <c r="E34" s="99"/>
      <c r="F34" s="99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</row>
    <row r="35" s="3" customFormat="1" ht="25" customHeight="1" spans="1:18">
      <c r="A35" s="101" t="s">
        <v>72</v>
      </c>
      <c r="B35" s="101"/>
      <c r="C35" s="93">
        <v>242499</v>
      </c>
      <c r="D35" s="93">
        <v>38719</v>
      </c>
      <c r="E35" s="93">
        <v>51761</v>
      </c>
      <c r="F35" s="93">
        <v>10804</v>
      </c>
      <c r="G35" s="93">
        <v>18523</v>
      </c>
      <c r="H35" s="93">
        <v>33019</v>
      </c>
      <c r="I35" s="93">
        <v>728</v>
      </c>
      <c r="J35" s="93">
        <v>15560</v>
      </c>
      <c r="K35" s="93">
        <v>8303</v>
      </c>
      <c r="L35" s="93">
        <v>21311</v>
      </c>
      <c r="M35" s="93">
        <v>16281</v>
      </c>
      <c r="N35" s="93">
        <v>3406</v>
      </c>
      <c r="O35" s="93">
        <v>3221</v>
      </c>
      <c r="P35" s="93">
        <v>17678</v>
      </c>
      <c r="Q35" s="93">
        <v>2200</v>
      </c>
      <c r="R35" s="95">
        <v>985</v>
      </c>
    </row>
    <row r="36" s="3" customFormat="1" spans="1:18">
      <c r="N36" s="102"/>
    </row>
  </sheetData>
  <sheetProtection autoFilter="0"/>
  <mergeCells count="4">
    <mergeCell ref="A2:R2"/>
    <mergeCell ref="A4:B4"/>
    <mergeCell ref="A35:B35"/>
    <mergeCell ref="C4:C5"/>
  </mergeCells>
  <printOptions horizontalCentered="1"/>
  <pageMargins left="0.47244094488189" right="0.47244094488189" top="0.433070866141732" bottom="0.15748031496063" header="0.118110236220472" footer="0.118110236220472"/>
  <pageSetup paperSize="9" scale="71" fitToHeight="0" orientation="landscape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87"/>
  <sheetViews>
    <sheetView showGridLines="0" showZeros="0" tabSelected="1" zoomScale="40" zoomScaleNormal="40" workbookViewId="0">
      <pane xSplit="4" ySplit="7" topLeftCell="E18" activePane="bottomRight" state="frozen"/>
      <selection/>
      <selection pane="topRight"/>
      <selection pane="bottomLeft"/>
      <selection pane="bottomRight" activeCell="B115" sqref="B115"/>
    </sheetView>
  </sheetViews>
  <sheetFormatPr defaultColWidth="8.775" defaultRowHeight="13.5"/>
  <cols>
    <col min="1" max="1" width="10.625" style="3" customWidth="1"/>
    <col min="2" max="2" width="32.75" style="3" customWidth="1"/>
    <col min="3" max="38" width="10.625" style="3" customWidth="1"/>
    <col min="39" max="16384" width="8.775" style="3"/>
  </cols>
  <sheetData>
    <row r="1" spans="1:38">
      <c r="A1" s="4"/>
    </row>
    <row r="2" s="1" customFormat="1" ht="23.25" spans="1:38">
      <c r="A2" s="5" t="s">
        <v>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ht="20.25" customHeight="1" spans="1:38">
      <c r="AL3" s="6" t="s">
        <v>1</v>
      </c>
    </row>
    <row r="4" s="49" customFormat="1" ht="23.1" customHeight="1" spans="1:38">
      <c r="A4" s="51" t="s">
        <v>2</v>
      </c>
      <c r="B4" s="52"/>
      <c r="C4" s="53" t="s">
        <v>3</v>
      </c>
      <c r="D4" s="54">
        <v>501</v>
      </c>
      <c r="E4" s="55"/>
      <c r="F4" s="55"/>
      <c r="G4" s="56"/>
      <c r="H4" s="54">
        <v>502</v>
      </c>
      <c r="I4" s="55"/>
      <c r="J4" s="55"/>
      <c r="K4" s="55"/>
      <c r="L4" s="55"/>
      <c r="M4" s="55"/>
      <c r="N4" s="55"/>
      <c r="O4" s="55"/>
      <c r="P4" s="55"/>
      <c r="Q4" s="56"/>
      <c r="R4" s="54">
        <v>503</v>
      </c>
      <c r="S4" s="55"/>
      <c r="T4" s="55"/>
      <c r="U4" s="55"/>
      <c r="V4" s="55"/>
      <c r="W4" s="55"/>
      <c r="X4" s="57">
        <v>504</v>
      </c>
      <c r="Y4" s="54">
        <v>505</v>
      </c>
      <c r="Z4" s="56"/>
      <c r="AA4" s="57">
        <v>506</v>
      </c>
      <c r="AB4" s="57">
        <v>507</v>
      </c>
      <c r="AC4" s="57">
        <v>508</v>
      </c>
      <c r="AD4" s="54">
        <v>509</v>
      </c>
      <c r="AE4" s="55"/>
      <c r="AF4" s="56"/>
      <c r="AG4" s="57">
        <v>510</v>
      </c>
      <c r="AH4" s="57">
        <v>511</v>
      </c>
      <c r="AI4" s="57">
        <v>512</v>
      </c>
      <c r="AJ4" s="57">
        <v>513</v>
      </c>
      <c r="AK4" s="57">
        <v>514</v>
      </c>
      <c r="AL4" s="57">
        <v>599</v>
      </c>
    </row>
    <row r="5" s="49" customFormat="1" ht="81" spans="1:38">
      <c r="A5" s="53" t="s">
        <v>74</v>
      </c>
      <c r="B5" s="53" t="s">
        <v>75</v>
      </c>
      <c r="C5" s="58"/>
      <c r="D5" s="59" t="s">
        <v>6</v>
      </c>
      <c r="E5" s="60"/>
      <c r="F5" s="60"/>
      <c r="G5" s="61"/>
      <c r="H5" s="59" t="s">
        <v>7</v>
      </c>
      <c r="I5" s="60"/>
      <c r="J5" s="60"/>
      <c r="K5" s="60"/>
      <c r="L5" s="60"/>
      <c r="M5" s="60"/>
      <c r="N5" s="60"/>
      <c r="O5" s="60"/>
      <c r="P5" s="60"/>
      <c r="Q5" s="61"/>
      <c r="R5" s="62" t="s">
        <v>76</v>
      </c>
      <c r="S5" s="55"/>
      <c r="T5" s="55"/>
      <c r="U5" s="55"/>
      <c r="V5" s="55"/>
      <c r="W5" s="55"/>
      <c r="X5" s="63" t="s">
        <v>77</v>
      </c>
      <c r="Y5" s="64" t="s">
        <v>10</v>
      </c>
      <c r="Z5" s="65"/>
      <c r="AA5" s="66" t="s">
        <v>11</v>
      </c>
      <c r="AB5" s="63" t="s">
        <v>12</v>
      </c>
      <c r="AC5" s="63" t="s">
        <v>13</v>
      </c>
      <c r="AD5" s="59" t="s">
        <v>14</v>
      </c>
      <c r="AE5" s="60"/>
      <c r="AF5" s="61"/>
      <c r="AG5" s="63" t="s">
        <v>15</v>
      </c>
      <c r="AH5" s="63" t="s">
        <v>16</v>
      </c>
      <c r="AI5" s="63" t="s">
        <v>17</v>
      </c>
      <c r="AJ5" s="63" t="s">
        <v>18</v>
      </c>
      <c r="AK5" s="63" t="s">
        <v>19</v>
      </c>
      <c r="AL5" s="63" t="s">
        <v>20</v>
      </c>
    </row>
    <row r="6" s="49" customFormat="1" ht="106" customHeight="1" spans="1:38">
      <c r="A6" s="67"/>
      <c r="B6" s="67"/>
      <c r="C6" s="67"/>
      <c r="D6" s="68" t="s">
        <v>78</v>
      </c>
      <c r="E6" s="69" t="s">
        <v>79</v>
      </c>
      <c r="F6" s="69" t="s">
        <v>80</v>
      </c>
      <c r="G6" s="69" t="s">
        <v>81</v>
      </c>
      <c r="H6" s="69" t="s">
        <v>82</v>
      </c>
      <c r="I6" s="69" t="s">
        <v>83</v>
      </c>
      <c r="J6" s="69" t="s">
        <v>84</v>
      </c>
      <c r="K6" s="69" t="s">
        <v>85</v>
      </c>
      <c r="L6" s="69" t="s">
        <v>86</v>
      </c>
      <c r="M6" s="69" t="s">
        <v>87</v>
      </c>
      <c r="N6" s="69" t="s">
        <v>88</v>
      </c>
      <c r="O6" s="69" t="s">
        <v>89</v>
      </c>
      <c r="P6" s="69" t="s">
        <v>90</v>
      </c>
      <c r="Q6" s="69" t="s">
        <v>91</v>
      </c>
      <c r="R6" s="69" t="s">
        <v>92</v>
      </c>
      <c r="S6" s="69" t="s">
        <v>93</v>
      </c>
      <c r="T6" s="69" t="s">
        <v>94</v>
      </c>
      <c r="U6" s="69" t="s">
        <v>95</v>
      </c>
      <c r="V6" s="69" t="s">
        <v>96</v>
      </c>
      <c r="W6" s="69" t="s">
        <v>97</v>
      </c>
      <c r="X6" s="70"/>
      <c r="Y6" s="69" t="s">
        <v>98</v>
      </c>
      <c r="Z6" s="69" t="s">
        <v>99</v>
      </c>
      <c r="AA6" s="68" t="s">
        <v>100</v>
      </c>
      <c r="AB6" s="70"/>
      <c r="AC6" s="70"/>
      <c r="AD6" s="69" t="s">
        <v>101</v>
      </c>
      <c r="AE6" s="69" t="s">
        <v>102</v>
      </c>
      <c r="AF6" s="69" t="s">
        <v>103</v>
      </c>
      <c r="AG6" s="70"/>
      <c r="AH6" s="71"/>
      <c r="AI6" s="71"/>
      <c r="AJ6" s="71"/>
      <c r="AK6" s="71"/>
      <c r="AL6" s="71"/>
    </row>
    <row r="7" s="50" customFormat="1" ht="39" customHeight="1" spans="1:38">
      <c r="A7" s="72" t="s">
        <v>21</v>
      </c>
      <c r="B7" s="73" t="s">
        <v>22</v>
      </c>
      <c r="C7" s="74">
        <v>29837</v>
      </c>
      <c r="D7" s="75">
        <v>6389.47101517877</v>
      </c>
      <c r="E7" s="75">
        <v>2227.76666982234</v>
      </c>
      <c r="F7" s="75">
        <v>1166.74398056108</v>
      </c>
      <c r="G7" s="75">
        <v>5307.01833443782</v>
      </c>
      <c r="H7" s="75">
        <v>3947.8275804569</v>
      </c>
      <c r="I7" s="75">
        <v>0</v>
      </c>
      <c r="J7" s="75">
        <v>1.53651825912956</v>
      </c>
      <c r="K7" s="75">
        <v>0</v>
      </c>
      <c r="L7" s="75">
        <v>1468.70658662665</v>
      </c>
      <c r="M7" s="75">
        <v>25.7110722027681</v>
      </c>
      <c r="N7" s="75">
        <v>1.6389528097382</v>
      </c>
      <c r="O7" s="75">
        <v>18.3357845589461</v>
      </c>
      <c r="P7" s="75">
        <v>0</v>
      </c>
      <c r="Q7" s="75">
        <v>679.243505085876</v>
      </c>
      <c r="R7" s="75"/>
      <c r="S7" s="75"/>
      <c r="T7" s="75"/>
      <c r="U7" s="75">
        <v>46</v>
      </c>
      <c r="V7" s="75"/>
      <c r="W7" s="75">
        <f>809-46</f>
        <v>763</v>
      </c>
      <c r="X7" s="75">
        <v>808</v>
      </c>
      <c r="Y7" s="75">
        <f>5272-3265</f>
        <v>2007</v>
      </c>
      <c r="Z7" s="75">
        <v>3265</v>
      </c>
      <c r="AA7" s="75">
        <v>131</v>
      </c>
      <c r="AB7" s="75">
        <v>500</v>
      </c>
      <c r="AC7" s="75">
        <v>320</v>
      </c>
      <c r="AD7" s="75">
        <v>10</v>
      </c>
      <c r="AE7" s="75"/>
      <c r="AF7" s="75">
        <v>35</v>
      </c>
      <c r="AG7" s="75">
        <v>718</v>
      </c>
      <c r="AH7" s="76"/>
      <c r="AI7" s="76"/>
      <c r="AJ7" s="76"/>
      <c r="AK7" s="76"/>
      <c r="AL7" s="74">
        <v>0</v>
      </c>
    </row>
    <row r="8" s="50" customFormat="1" ht="39" customHeight="1" spans="1:38">
      <c r="A8" s="72" t="s">
        <v>23</v>
      </c>
      <c r="B8" s="73" t="s">
        <v>24</v>
      </c>
      <c r="C8" s="74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/>
      <c r="S8" s="75"/>
      <c r="T8" s="75"/>
      <c r="U8" s="75"/>
      <c r="V8" s="75"/>
      <c r="W8" s="75">
        <v>0</v>
      </c>
      <c r="X8" s="75">
        <v>0</v>
      </c>
      <c r="Y8" s="75">
        <v>0</v>
      </c>
      <c r="Z8" s="75"/>
      <c r="AA8" s="75">
        <v>0</v>
      </c>
      <c r="AB8" s="75">
        <v>0</v>
      </c>
      <c r="AC8" s="75">
        <v>0</v>
      </c>
      <c r="AD8" s="75">
        <v>0</v>
      </c>
      <c r="AE8" s="75"/>
      <c r="AF8" s="75"/>
      <c r="AG8" s="75">
        <v>0</v>
      </c>
      <c r="AH8" s="76"/>
      <c r="AI8" s="76"/>
      <c r="AJ8" s="76"/>
      <c r="AK8" s="76"/>
      <c r="AL8" s="74">
        <v>0</v>
      </c>
    </row>
    <row r="9" s="50" customFormat="1" ht="39" customHeight="1" spans="1:38">
      <c r="A9" s="72" t="s">
        <v>25</v>
      </c>
      <c r="B9" s="73" t="s">
        <v>26</v>
      </c>
      <c r="C9" s="74">
        <v>120</v>
      </c>
      <c r="D9" s="75">
        <v>0</v>
      </c>
      <c r="E9" s="75">
        <v>0</v>
      </c>
      <c r="F9" s="75">
        <v>0</v>
      </c>
      <c r="G9" s="75">
        <v>0</v>
      </c>
      <c r="H9" s="75">
        <v>77.1185592796398</v>
      </c>
      <c r="I9" s="75">
        <v>0</v>
      </c>
      <c r="J9" s="75">
        <v>0.0300150075037519</v>
      </c>
      <c r="K9" s="75">
        <v>0</v>
      </c>
      <c r="L9" s="75">
        <v>28.6903451725863</v>
      </c>
      <c r="M9" s="75">
        <v>0.502251125562781</v>
      </c>
      <c r="N9" s="75">
        <v>0.032016008004002</v>
      </c>
      <c r="O9" s="75">
        <v>0.358179089544772</v>
      </c>
      <c r="P9" s="75">
        <v>0</v>
      </c>
      <c r="Q9" s="75">
        <v>13.2686343171586</v>
      </c>
      <c r="R9" s="75"/>
      <c r="S9" s="75"/>
      <c r="T9" s="75"/>
      <c r="U9" s="75"/>
      <c r="V9" s="75"/>
      <c r="W9" s="75">
        <v>0</v>
      </c>
      <c r="X9" s="75">
        <v>0</v>
      </c>
      <c r="Y9" s="75">
        <v>0</v>
      </c>
      <c r="Z9" s="75"/>
      <c r="AA9" s="75">
        <v>0</v>
      </c>
      <c r="AB9" s="75">
        <v>0</v>
      </c>
      <c r="AC9" s="75">
        <v>0</v>
      </c>
      <c r="AD9" s="75">
        <v>0</v>
      </c>
      <c r="AE9" s="75"/>
      <c r="AF9" s="75"/>
      <c r="AG9" s="75">
        <v>0</v>
      </c>
      <c r="AH9" s="76"/>
      <c r="AI9" s="76"/>
      <c r="AJ9" s="76"/>
      <c r="AK9" s="76"/>
      <c r="AL9" s="74">
        <v>0</v>
      </c>
    </row>
    <row r="10" s="50" customFormat="1" ht="39" customHeight="1" spans="1:38">
      <c r="A10" s="72" t="s">
        <v>27</v>
      </c>
      <c r="B10" s="73" t="s">
        <v>28</v>
      </c>
      <c r="C10" s="74">
        <v>500</v>
      </c>
      <c r="D10" s="75">
        <v>125.748650951434</v>
      </c>
      <c r="E10" s="75">
        <v>43.8437943765976</v>
      </c>
      <c r="F10" s="75">
        <v>22.962226640159</v>
      </c>
      <c r="G10" s="75">
        <v>104.445328031809</v>
      </c>
      <c r="H10" s="75">
        <v>124.032349508087</v>
      </c>
      <c r="I10" s="75">
        <v>0</v>
      </c>
      <c r="J10" s="75">
        <v>0.0482741370685343</v>
      </c>
      <c r="K10" s="75">
        <v>0</v>
      </c>
      <c r="L10" s="75">
        <v>46.1436384859096</v>
      </c>
      <c r="M10" s="75">
        <v>0.807787226946807</v>
      </c>
      <c r="N10" s="75">
        <v>0.0514924128731032</v>
      </c>
      <c r="O10" s="75">
        <v>0.576071369017842</v>
      </c>
      <c r="P10" s="75">
        <v>0</v>
      </c>
      <c r="Q10" s="75">
        <v>21.3403868600967</v>
      </c>
      <c r="R10" s="75"/>
      <c r="S10" s="75"/>
      <c r="T10" s="75"/>
      <c r="U10" s="75"/>
      <c r="V10" s="75"/>
      <c r="W10" s="75">
        <v>6</v>
      </c>
      <c r="X10" s="75">
        <v>3</v>
      </c>
      <c r="Y10" s="75">
        <v>0</v>
      </c>
      <c r="Z10" s="75"/>
      <c r="AA10" s="75">
        <v>0</v>
      </c>
      <c r="AB10" s="75"/>
      <c r="AC10" s="75"/>
      <c r="AD10" s="75">
        <v>1</v>
      </c>
      <c r="AE10" s="75"/>
      <c r="AF10" s="75"/>
      <c r="AG10" s="75">
        <v>0</v>
      </c>
      <c r="AH10" s="76"/>
      <c r="AI10" s="76"/>
      <c r="AJ10" s="76"/>
      <c r="AK10" s="76"/>
      <c r="AL10" s="74">
        <v>0</v>
      </c>
    </row>
    <row r="11" s="50" customFormat="1" ht="39" customHeight="1" spans="1:38">
      <c r="A11" s="72" t="s">
        <v>29</v>
      </c>
      <c r="B11" s="73" t="s">
        <v>30</v>
      </c>
      <c r="C11" s="74">
        <v>45600</v>
      </c>
      <c r="D11" s="75">
        <v>5008.35283536874</v>
      </c>
      <c r="E11" s="75">
        <v>1746.2230426962</v>
      </c>
      <c r="F11" s="75">
        <v>914.546056991385</v>
      </c>
      <c r="G11" s="75">
        <v>4159.87806494367</v>
      </c>
      <c r="H11" s="75">
        <v>6330.79106219777</v>
      </c>
      <c r="I11" s="75">
        <v>0</v>
      </c>
      <c r="J11" s="75">
        <v>2.4639819909955</v>
      </c>
      <c r="K11" s="75">
        <v>0</v>
      </c>
      <c r="L11" s="75">
        <v>2355.23825245956</v>
      </c>
      <c r="M11" s="75">
        <v>41.230631982658</v>
      </c>
      <c r="N11" s="75">
        <v>2.62824745706186</v>
      </c>
      <c r="O11" s="75">
        <v>29.4035184258796</v>
      </c>
      <c r="P11" s="75">
        <v>0</v>
      </c>
      <c r="Q11" s="75">
        <v>1089.24430548608</v>
      </c>
      <c r="R11" s="75"/>
      <c r="S11" s="75"/>
      <c r="T11" s="75"/>
      <c r="U11" s="75"/>
      <c r="V11" s="75"/>
      <c r="W11" s="75">
        <v>2641</v>
      </c>
      <c r="X11" s="75">
        <v>3475</v>
      </c>
      <c r="Y11" s="75">
        <f>-3256+11687</f>
        <v>8431</v>
      </c>
      <c r="Z11" s="75">
        <v>3256</v>
      </c>
      <c r="AA11" s="75">
        <v>188</v>
      </c>
      <c r="AB11" s="75">
        <v>147</v>
      </c>
      <c r="AC11" s="75">
        <v>1132</v>
      </c>
      <c r="AD11" s="75">
        <v>136</v>
      </c>
      <c r="AE11" s="75"/>
      <c r="AF11" s="75">
        <v>95</v>
      </c>
      <c r="AG11" s="75">
        <v>4419</v>
      </c>
      <c r="AH11" s="76"/>
      <c r="AI11" s="76"/>
      <c r="AJ11" s="76"/>
      <c r="AK11" s="76"/>
      <c r="AL11" s="74">
        <v>0</v>
      </c>
    </row>
    <row r="12" s="50" customFormat="1" ht="39" customHeight="1" spans="1:38">
      <c r="A12" s="72" t="s">
        <v>31</v>
      </c>
      <c r="B12" s="73" t="s">
        <v>32</v>
      </c>
      <c r="C12" s="74">
        <v>3088</v>
      </c>
      <c r="D12" s="75">
        <v>39.7992363280634</v>
      </c>
      <c r="E12" s="75">
        <v>13.8764871090915</v>
      </c>
      <c r="F12" s="75">
        <v>7.26750607466313</v>
      </c>
      <c r="G12" s="75">
        <v>33.056770488182</v>
      </c>
      <c r="H12" s="75">
        <v>206.292146073037</v>
      </c>
      <c r="I12" s="75">
        <v>0</v>
      </c>
      <c r="J12" s="75">
        <v>0.0802901450725363</v>
      </c>
      <c r="K12" s="75">
        <v>0</v>
      </c>
      <c r="L12" s="75">
        <v>76.7466733366683</v>
      </c>
      <c r="M12" s="75">
        <v>1.34352176088044</v>
      </c>
      <c r="N12" s="75">
        <v>0.0856428214107054</v>
      </c>
      <c r="O12" s="75">
        <v>0.958129064532266</v>
      </c>
      <c r="P12" s="75">
        <v>0</v>
      </c>
      <c r="Q12" s="75">
        <v>35.4935967983992</v>
      </c>
      <c r="R12" s="75"/>
      <c r="S12" s="75"/>
      <c r="T12" s="75"/>
      <c r="U12" s="75"/>
      <c r="V12" s="75"/>
      <c r="W12" s="75">
        <v>21</v>
      </c>
      <c r="X12" s="75">
        <v>113</v>
      </c>
      <c r="Y12" s="75">
        <v>0</v>
      </c>
      <c r="Z12" s="75"/>
      <c r="AA12" s="75">
        <v>0</v>
      </c>
      <c r="AB12" s="75">
        <v>1490</v>
      </c>
      <c r="AC12" s="75">
        <v>1037</v>
      </c>
      <c r="AD12" s="75">
        <v>0</v>
      </c>
      <c r="AE12" s="75"/>
      <c r="AF12" s="75">
        <v>12</v>
      </c>
      <c r="AG12" s="75"/>
      <c r="AH12" s="76"/>
      <c r="AI12" s="76"/>
      <c r="AJ12" s="76"/>
      <c r="AK12" s="76"/>
      <c r="AL12" s="74">
        <v>0</v>
      </c>
    </row>
    <row r="13" s="50" customFormat="1" ht="39" customHeight="1" spans="1:38">
      <c r="A13" s="72" t="s">
        <v>33</v>
      </c>
      <c r="B13" s="73" t="s">
        <v>34</v>
      </c>
      <c r="C13" s="74">
        <v>8170</v>
      </c>
      <c r="D13" s="75">
        <v>96.5343179021111</v>
      </c>
      <c r="E13" s="75">
        <v>33.6578623497113</v>
      </c>
      <c r="F13" s="75">
        <v>17.6275679257787</v>
      </c>
      <c r="G13" s="75">
        <v>80.1802518223989</v>
      </c>
      <c r="H13" s="75">
        <v>388.163415040854</v>
      </c>
      <c r="I13" s="75">
        <v>0</v>
      </c>
      <c r="J13" s="75">
        <v>0.151075537768884</v>
      </c>
      <c r="K13" s="75">
        <v>0</v>
      </c>
      <c r="L13" s="75">
        <v>144.408070702018</v>
      </c>
      <c r="M13" s="75">
        <v>2.52799733199933</v>
      </c>
      <c r="N13" s="75">
        <v>0.16114724028681</v>
      </c>
      <c r="O13" s="75">
        <v>1.80283475070869</v>
      </c>
      <c r="P13" s="75">
        <v>0</v>
      </c>
      <c r="Q13" s="75">
        <v>66.7854593963649</v>
      </c>
      <c r="R13" s="75"/>
      <c r="S13" s="75"/>
      <c r="T13" s="75"/>
      <c r="U13" s="75"/>
      <c r="V13" s="75"/>
      <c r="W13" s="75">
        <v>1369</v>
      </c>
      <c r="X13" s="75">
        <v>5049</v>
      </c>
      <c r="Y13" s="75">
        <v>0</v>
      </c>
      <c r="Z13" s="75"/>
      <c r="AA13" s="75">
        <v>0</v>
      </c>
      <c r="AB13" s="75">
        <v>571</v>
      </c>
      <c r="AC13" s="75">
        <v>296</v>
      </c>
      <c r="AD13" s="75">
        <v>0</v>
      </c>
      <c r="AE13" s="75"/>
      <c r="AF13" s="75">
        <v>32</v>
      </c>
      <c r="AG13" s="75">
        <v>21</v>
      </c>
      <c r="AH13" s="76"/>
      <c r="AI13" s="76"/>
      <c r="AJ13" s="76"/>
      <c r="AK13" s="76"/>
      <c r="AL13" s="74">
        <v>0</v>
      </c>
    </row>
    <row r="14" s="50" customFormat="1" ht="39" customHeight="1" spans="1:38">
      <c r="A14" s="72" t="s">
        <v>35</v>
      </c>
      <c r="B14" s="73" t="s">
        <v>36</v>
      </c>
      <c r="C14" s="74">
        <v>29656</v>
      </c>
      <c r="D14" s="75">
        <v>1091.09182997255</v>
      </c>
      <c r="E14" s="75">
        <v>380.42241787371</v>
      </c>
      <c r="F14" s="75">
        <v>199.237905897946</v>
      </c>
      <c r="G14" s="75">
        <v>906.247846255799</v>
      </c>
      <c r="H14" s="75">
        <v>2421.52276138069</v>
      </c>
      <c r="I14" s="75">
        <v>0</v>
      </c>
      <c r="J14" s="75">
        <v>0.942471235617809</v>
      </c>
      <c r="K14" s="75">
        <v>0</v>
      </c>
      <c r="L14" s="75">
        <v>900.87683841921</v>
      </c>
      <c r="M14" s="75">
        <v>15.7706853426713</v>
      </c>
      <c r="N14" s="75">
        <v>1.00530265132566</v>
      </c>
      <c r="O14" s="75">
        <v>11.2468234117059</v>
      </c>
      <c r="P14" s="75">
        <v>0</v>
      </c>
      <c r="Q14" s="75">
        <v>416.635117558779</v>
      </c>
      <c r="R14" s="75"/>
      <c r="S14" s="75"/>
      <c r="T14" s="75"/>
      <c r="U14" s="75">
        <v>8</v>
      </c>
      <c r="V14" s="75"/>
      <c r="W14" s="75">
        <v>432</v>
      </c>
      <c r="X14" s="75">
        <v>387</v>
      </c>
      <c r="Y14" s="75">
        <v>405</v>
      </c>
      <c r="Z14" s="75">
        <v>300</v>
      </c>
      <c r="AA14" s="75">
        <v>37</v>
      </c>
      <c r="AB14" s="75">
        <v>0</v>
      </c>
      <c r="AC14" s="75">
        <v>78</v>
      </c>
      <c r="AD14" s="75">
        <v>10429</v>
      </c>
      <c r="AE14" s="75">
        <v>2990</v>
      </c>
      <c r="AF14" s="75">
        <v>135</v>
      </c>
      <c r="AG14" s="75">
        <v>8110</v>
      </c>
      <c r="AH14" s="76"/>
      <c r="AI14" s="76"/>
      <c r="AJ14" s="76"/>
      <c r="AK14" s="76"/>
      <c r="AL14" s="74">
        <v>0</v>
      </c>
    </row>
    <row r="15" s="50" customFormat="1" ht="39" customHeight="1" spans="1:38">
      <c r="A15" s="72" t="s">
        <v>37</v>
      </c>
      <c r="B15" s="73" t="s">
        <v>38</v>
      </c>
      <c r="C15" s="74">
        <v>21072</v>
      </c>
      <c r="D15" s="75">
        <v>500.03083088769</v>
      </c>
      <c r="E15" s="75">
        <v>174.341822083373</v>
      </c>
      <c r="F15" s="75">
        <v>91.307709299757</v>
      </c>
      <c r="G15" s="75">
        <v>415.31963772918</v>
      </c>
      <c r="H15" s="75">
        <v>6068.58796064699</v>
      </c>
      <c r="I15" s="75">
        <v>0</v>
      </c>
      <c r="J15" s="75">
        <v>2.36193096548274</v>
      </c>
      <c r="K15" s="75">
        <v>0</v>
      </c>
      <c r="L15" s="75">
        <v>2257.69107887277</v>
      </c>
      <c r="M15" s="75">
        <v>39.5229781557445</v>
      </c>
      <c r="N15" s="75">
        <v>2.51939302984826</v>
      </c>
      <c r="O15" s="75">
        <v>28.1857095214274</v>
      </c>
      <c r="P15" s="75">
        <v>0</v>
      </c>
      <c r="Q15" s="75">
        <v>1044.13094880774</v>
      </c>
      <c r="R15" s="75"/>
      <c r="S15" s="75"/>
      <c r="T15" s="75"/>
      <c r="U15" s="75"/>
      <c r="V15" s="75"/>
      <c r="W15" s="75">
        <v>290</v>
      </c>
      <c r="X15" s="75">
        <v>1575</v>
      </c>
      <c r="Y15" s="75">
        <v>0</v>
      </c>
      <c r="Z15" s="75"/>
      <c r="AA15" s="75">
        <v>0</v>
      </c>
      <c r="AB15" s="75">
        <v>4146</v>
      </c>
      <c r="AC15" s="75">
        <v>513</v>
      </c>
      <c r="AD15" s="75">
        <v>1952</v>
      </c>
      <c r="AE15" s="75"/>
      <c r="AF15" s="75">
        <v>216</v>
      </c>
      <c r="AG15" s="75">
        <v>1756</v>
      </c>
      <c r="AH15" s="76"/>
      <c r="AI15" s="76"/>
      <c r="AJ15" s="76"/>
      <c r="AK15" s="76"/>
      <c r="AL15" s="74">
        <v>0</v>
      </c>
    </row>
    <row r="16" s="50" customFormat="1" ht="39" customHeight="1" spans="1:38">
      <c r="A16" s="72" t="s">
        <v>39</v>
      </c>
      <c r="B16" s="73" t="s">
        <v>40</v>
      </c>
      <c r="C16" s="74">
        <v>1677</v>
      </c>
      <c r="D16" s="75">
        <v>0</v>
      </c>
      <c r="E16" s="75">
        <v>0</v>
      </c>
      <c r="F16" s="75">
        <v>0</v>
      </c>
      <c r="G16" s="75">
        <v>0</v>
      </c>
      <c r="H16" s="75">
        <v>231.998332499583</v>
      </c>
      <c r="I16" s="75">
        <v>0</v>
      </c>
      <c r="J16" s="75">
        <v>0.0902951475737869</v>
      </c>
      <c r="K16" s="75">
        <v>0</v>
      </c>
      <c r="L16" s="75">
        <v>86.3101217275304</v>
      </c>
      <c r="M16" s="75">
        <v>1.5109388027347</v>
      </c>
      <c r="N16" s="75">
        <v>0.096314824078706</v>
      </c>
      <c r="O16" s="75">
        <v>1.07752209438052</v>
      </c>
      <c r="P16" s="75">
        <v>0</v>
      </c>
      <c r="Q16" s="75">
        <v>39.9164749041187</v>
      </c>
      <c r="R16" s="75"/>
      <c r="S16" s="75"/>
      <c r="T16" s="75"/>
      <c r="U16" s="75"/>
      <c r="V16" s="75"/>
      <c r="W16" s="75">
        <v>550</v>
      </c>
      <c r="X16" s="75">
        <v>127</v>
      </c>
      <c r="Y16" s="75"/>
      <c r="Z16" s="75">
        <v>52</v>
      </c>
      <c r="AA16" s="75">
        <v>0</v>
      </c>
      <c r="AB16" s="75">
        <v>335</v>
      </c>
      <c r="AC16" s="75">
        <v>41</v>
      </c>
      <c r="AD16" s="75">
        <v>0</v>
      </c>
      <c r="AE16" s="75"/>
      <c r="AF16" s="75">
        <v>14</v>
      </c>
      <c r="AG16" s="75">
        <v>197</v>
      </c>
      <c r="AH16" s="76"/>
      <c r="AI16" s="76"/>
      <c r="AJ16" s="76"/>
      <c r="AK16" s="76"/>
      <c r="AL16" s="74">
        <v>0</v>
      </c>
    </row>
    <row r="17" s="50" customFormat="1" ht="39" customHeight="1" spans="1:38">
      <c r="A17" s="72" t="s">
        <v>41</v>
      </c>
      <c r="B17" s="73" t="s">
        <v>42</v>
      </c>
      <c r="C17" s="74">
        <v>36740</v>
      </c>
      <c r="D17" s="75">
        <v>2350.69532014264</v>
      </c>
      <c r="E17" s="75">
        <v>819.598472656127</v>
      </c>
      <c r="F17" s="75">
        <v>429.246741771593</v>
      </c>
      <c r="G17" s="75">
        <v>1952.45946542964</v>
      </c>
      <c r="H17" s="75">
        <v>5155.37568784392</v>
      </c>
      <c r="I17" s="75">
        <v>0</v>
      </c>
      <c r="J17" s="75">
        <v>2.00650325162581</v>
      </c>
      <c r="K17" s="75">
        <v>0</v>
      </c>
      <c r="L17" s="75">
        <v>1917.94957478739</v>
      </c>
      <c r="M17" s="75">
        <v>33.5754877438719</v>
      </c>
      <c r="N17" s="75">
        <v>2.14027013506753</v>
      </c>
      <c r="O17" s="75">
        <v>23.944272136068</v>
      </c>
      <c r="P17" s="75">
        <v>0</v>
      </c>
      <c r="Q17" s="75">
        <v>887.008204102051</v>
      </c>
      <c r="R17" s="75"/>
      <c r="S17" s="75"/>
      <c r="T17" s="75"/>
      <c r="U17" s="75"/>
      <c r="V17" s="75"/>
      <c r="W17" s="75">
        <v>431</v>
      </c>
      <c r="X17" s="75">
        <v>2342</v>
      </c>
      <c r="Y17" s="75">
        <f>14601-5315</f>
        <v>9286</v>
      </c>
      <c r="Z17" s="75">
        <v>5315</v>
      </c>
      <c r="AA17" s="75">
        <v>313</v>
      </c>
      <c r="AB17" s="75">
        <v>1326</v>
      </c>
      <c r="AC17" s="75">
        <v>1538</v>
      </c>
      <c r="AD17" s="75">
        <v>1405</v>
      </c>
      <c r="AE17" s="75"/>
      <c r="AF17" s="75">
        <v>256</v>
      </c>
      <c r="AG17" s="75">
        <v>954</v>
      </c>
      <c r="AH17" s="76"/>
      <c r="AI17" s="76"/>
      <c r="AJ17" s="76"/>
      <c r="AK17" s="76"/>
      <c r="AL17" s="74">
        <v>0</v>
      </c>
    </row>
    <row r="18" s="50" customFormat="1" ht="39" customHeight="1" spans="1:38">
      <c r="A18" s="72" t="s">
        <v>43</v>
      </c>
      <c r="B18" s="73" t="s">
        <v>44</v>
      </c>
      <c r="C18" s="74">
        <v>9460</v>
      </c>
      <c r="D18" s="75">
        <v>84.6792262299221</v>
      </c>
      <c r="E18" s="75">
        <v>29.5244406576415</v>
      </c>
      <c r="F18" s="75">
        <v>15.462778882262</v>
      </c>
      <c r="G18" s="75">
        <v>70.3335542301745</v>
      </c>
      <c r="H18" s="75">
        <v>2990.27213606803</v>
      </c>
      <c r="I18" s="75">
        <v>0</v>
      </c>
      <c r="J18" s="75">
        <v>1.16383191595798</v>
      </c>
      <c r="K18" s="75">
        <v>0</v>
      </c>
      <c r="L18" s="75">
        <v>1112.46813406703</v>
      </c>
      <c r="M18" s="75">
        <v>19.4747873936968</v>
      </c>
      <c r="N18" s="75">
        <v>1.24142071035518</v>
      </c>
      <c r="O18" s="75">
        <v>13.8883941970985</v>
      </c>
      <c r="P18" s="75">
        <v>0</v>
      </c>
      <c r="Q18" s="75">
        <v>514.491295647824</v>
      </c>
      <c r="R18" s="75"/>
      <c r="S18" s="75"/>
      <c r="T18" s="75"/>
      <c r="U18" s="75"/>
      <c r="V18" s="75"/>
      <c r="W18" s="75">
        <v>119</v>
      </c>
      <c r="X18" s="75">
        <v>647</v>
      </c>
      <c r="Y18" s="75">
        <v>0</v>
      </c>
      <c r="Z18" s="75"/>
      <c r="AA18" s="75">
        <v>0</v>
      </c>
      <c r="AB18" s="75">
        <v>1703</v>
      </c>
      <c r="AC18" s="75">
        <v>211</v>
      </c>
      <c r="AD18" s="75">
        <v>1606</v>
      </c>
      <c r="AE18" s="75"/>
      <c r="AF18" s="75">
        <v>321</v>
      </c>
      <c r="AG18" s="75"/>
      <c r="AH18" s="76"/>
      <c r="AI18" s="76"/>
      <c r="AJ18" s="76"/>
      <c r="AK18" s="76"/>
      <c r="AL18" s="74">
        <v>0</v>
      </c>
    </row>
    <row r="19" s="50" customFormat="1" ht="39" customHeight="1" spans="1:38">
      <c r="A19" s="72" t="s">
        <v>45</v>
      </c>
      <c r="B19" s="73" t="s">
        <v>46</v>
      </c>
      <c r="C19" s="74">
        <v>7800</v>
      </c>
      <c r="D19" s="75">
        <v>0</v>
      </c>
      <c r="E19" s="75">
        <v>0</v>
      </c>
      <c r="F19" s="75">
        <v>0</v>
      </c>
      <c r="G19" s="75">
        <v>0</v>
      </c>
      <c r="H19" s="75">
        <v>1062.9508087377</v>
      </c>
      <c r="I19" s="75">
        <v>0</v>
      </c>
      <c r="J19" s="75">
        <v>0.413706853426713</v>
      </c>
      <c r="K19" s="75">
        <v>0</v>
      </c>
      <c r="L19" s="75">
        <v>395.448590962148</v>
      </c>
      <c r="M19" s="75">
        <v>6.92269468067367</v>
      </c>
      <c r="N19" s="75">
        <v>0.441287310321828</v>
      </c>
      <c r="O19" s="75">
        <v>4.93690178422545</v>
      </c>
      <c r="P19" s="75">
        <v>0</v>
      </c>
      <c r="Q19" s="75">
        <v>182.886009671502</v>
      </c>
      <c r="R19" s="75"/>
      <c r="S19" s="75"/>
      <c r="T19" s="75"/>
      <c r="U19" s="75"/>
      <c r="V19" s="75"/>
      <c r="W19" s="75">
        <v>2555</v>
      </c>
      <c r="X19" s="75">
        <v>1765</v>
      </c>
      <c r="Y19" s="75">
        <v>0</v>
      </c>
      <c r="Z19" s="75"/>
      <c r="AA19" s="75">
        <v>0</v>
      </c>
      <c r="AB19" s="75">
        <v>1531</v>
      </c>
      <c r="AC19" s="75">
        <v>189</v>
      </c>
      <c r="AD19" s="75">
        <v>82</v>
      </c>
      <c r="AE19" s="75"/>
      <c r="AF19" s="75">
        <v>24</v>
      </c>
      <c r="AG19" s="75">
        <v>0</v>
      </c>
      <c r="AH19" s="76"/>
      <c r="AI19" s="76"/>
      <c r="AJ19" s="76"/>
      <c r="AK19" s="76"/>
      <c r="AL19" s="74">
        <v>0</v>
      </c>
    </row>
    <row r="20" s="50" customFormat="1" ht="39" customHeight="1" spans="1:38">
      <c r="A20" s="72" t="s">
        <v>47</v>
      </c>
      <c r="B20" s="77" t="s">
        <v>48</v>
      </c>
      <c r="C20" s="74">
        <v>4094</v>
      </c>
      <c r="D20" s="75">
        <v>69.8603616396857</v>
      </c>
      <c r="E20" s="75">
        <v>24.3576635425542</v>
      </c>
      <c r="F20" s="75">
        <v>12.7567925778661</v>
      </c>
      <c r="G20" s="75">
        <v>58.025182239894</v>
      </c>
      <c r="H20" s="75">
        <v>742.908787727197</v>
      </c>
      <c r="I20" s="75">
        <v>0</v>
      </c>
      <c r="J20" s="75">
        <v>0.289144572286143</v>
      </c>
      <c r="K20" s="75">
        <v>0</v>
      </c>
      <c r="L20" s="75">
        <v>276.383658495915</v>
      </c>
      <c r="M20" s="75">
        <v>4.83835250958813</v>
      </c>
      <c r="N20" s="75">
        <v>0.308420877105219</v>
      </c>
      <c r="O20" s="75">
        <v>3.45045856261464</v>
      </c>
      <c r="P20" s="75">
        <v>0</v>
      </c>
      <c r="Q20" s="75">
        <v>127.821177255294</v>
      </c>
      <c r="R20" s="75"/>
      <c r="S20" s="75"/>
      <c r="T20" s="75"/>
      <c r="U20" s="75"/>
      <c r="V20" s="75"/>
      <c r="W20" s="75">
        <v>119</v>
      </c>
      <c r="X20" s="75">
        <v>168</v>
      </c>
      <c r="Y20" s="75">
        <v>0</v>
      </c>
      <c r="Z20" s="75"/>
      <c r="AA20" s="75">
        <v>0</v>
      </c>
      <c r="AB20" s="75">
        <v>441</v>
      </c>
      <c r="AC20" s="75">
        <v>2026</v>
      </c>
      <c r="AD20" s="75">
        <v>0</v>
      </c>
      <c r="AE20" s="75"/>
      <c r="AF20" s="75">
        <v>19</v>
      </c>
      <c r="AG20" s="75"/>
      <c r="AH20" s="76"/>
      <c r="AI20" s="76"/>
      <c r="AJ20" s="76"/>
      <c r="AK20" s="76"/>
      <c r="AL20" s="74">
        <v>0</v>
      </c>
    </row>
    <row r="21" s="50" customFormat="1" ht="39" customHeight="1" spans="1:38">
      <c r="A21" s="72" t="s">
        <v>49</v>
      </c>
      <c r="B21" s="77" t="s">
        <v>50</v>
      </c>
      <c r="C21" s="74">
        <v>1850</v>
      </c>
      <c r="D21" s="75">
        <v>0</v>
      </c>
      <c r="E21" s="75">
        <v>0</v>
      </c>
      <c r="F21" s="75">
        <v>0</v>
      </c>
      <c r="G21" s="75">
        <v>0</v>
      </c>
      <c r="H21" s="75">
        <v>216.574620643655</v>
      </c>
      <c r="I21" s="75">
        <v>0</v>
      </c>
      <c r="J21" s="75">
        <v>0.0842921460730365</v>
      </c>
      <c r="K21" s="75">
        <v>0</v>
      </c>
      <c r="L21" s="75">
        <v>80.5720526930132</v>
      </c>
      <c r="M21" s="75">
        <v>1.41048857762214</v>
      </c>
      <c r="N21" s="75">
        <v>0.0899116224779056</v>
      </c>
      <c r="O21" s="75">
        <v>1.00588627647157</v>
      </c>
      <c r="P21" s="75">
        <v>0</v>
      </c>
      <c r="Q21" s="75">
        <v>37.262748040687</v>
      </c>
      <c r="R21" s="75"/>
      <c r="S21" s="75"/>
      <c r="T21" s="75"/>
      <c r="U21" s="75"/>
      <c r="V21" s="75"/>
      <c r="W21" s="75">
        <v>22</v>
      </c>
      <c r="X21" s="75">
        <v>119</v>
      </c>
      <c r="Y21" s="75">
        <v>0</v>
      </c>
      <c r="Z21" s="75"/>
      <c r="AA21" s="75">
        <v>59</v>
      </c>
      <c r="AB21" s="75">
        <v>783</v>
      </c>
      <c r="AC21" s="75">
        <v>516</v>
      </c>
      <c r="AD21" s="75">
        <v>0</v>
      </c>
      <c r="AE21" s="75"/>
      <c r="AF21" s="75">
        <v>14</v>
      </c>
      <c r="AG21" s="75"/>
      <c r="AH21" s="76"/>
      <c r="AI21" s="76"/>
      <c r="AJ21" s="76"/>
      <c r="AK21" s="76"/>
      <c r="AL21" s="74">
        <v>0</v>
      </c>
    </row>
    <row r="22" s="50" customFormat="1" ht="39" customHeight="1" spans="1:38">
      <c r="A22" s="72" t="s">
        <v>51</v>
      </c>
      <c r="B22" s="78" t="s">
        <v>52</v>
      </c>
      <c r="C22" s="74">
        <v>10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75"/>
      <c r="S22" s="75"/>
      <c r="T22" s="75"/>
      <c r="U22" s="75"/>
      <c r="V22" s="75"/>
      <c r="W22" s="75">
        <v>0</v>
      </c>
      <c r="X22" s="75">
        <v>0</v>
      </c>
      <c r="Y22" s="75">
        <v>0</v>
      </c>
      <c r="Z22" s="75"/>
      <c r="AA22" s="75">
        <v>0</v>
      </c>
      <c r="AB22" s="75">
        <v>10</v>
      </c>
      <c r="AC22" s="75">
        <v>0</v>
      </c>
      <c r="AD22" s="75">
        <v>0</v>
      </c>
      <c r="AE22" s="75"/>
      <c r="AF22" s="75"/>
      <c r="AG22" s="75">
        <v>0</v>
      </c>
      <c r="AH22" s="76"/>
      <c r="AI22" s="76"/>
      <c r="AJ22" s="76"/>
      <c r="AK22" s="76"/>
      <c r="AL22" s="74">
        <v>0</v>
      </c>
    </row>
    <row r="23" s="50" customFormat="1" ht="39" customHeight="1" spans="1:38">
      <c r="A23" s="72" t="s">
        <v>53</v>
      </c>
      <c r="B23" s="77" t="s">
        <v>54</v>
      </c>
      <c r="C23" s="74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  <c r="R23" s="75"/>
      <c r="S23" s="75"/>
      <c r="T23" s="75"/>
      <c r="U23" s="75"/>
      <c r="V23" s="75"/>
      <c r="W23" s="75">
        <v>0</v>
      </c>
      <c r="X23" s="75">
        <v>0</v>
      </c>
      <c r="Y23" s="75">
        <v>0</v>
      </c>
      <c r="Z23" s="75"/>
      <c r="AA23" s="75">
        <v>0</v>
      </c>
      <c r="AB23" s="75">
        <v>0</v>
      </c>
      <c r="AC23" s="75">
        <v>0</v>
      </c>
      <c r="AD23" s="75">
        <v>0</v>
      </c>
      <c r="AE23" s="75"/>
      <c r="AF23" s="75"/>
      <c r="AG23" s="75">
        <v>0</v>
      </c>
      <c r="AH23" s="76"/>
      <c r="AI23" s="76"/>
      <c r="AJ23" s="76"/>
      <c r="AK23" s="76"/>
      <c r="AL23" s="74">
        <v>0</v>
      </c>
    </row>
    <row r="24" s="50" customFormat="1" ht="39" customHeight="1" spans="1:38">
      <c r="A24" s="72" t="s">
        <v>55</v>
      </c>
      <c r="B24" s="77" t="s">
        <v>56</v>
      </c>
      <c r="C24" s="74">
        <v>180</v>
      </c>
      <c r="D24" s="75">
        <v>0</v>
      </c>
      <c r="E24" s="75">
        <v>0</v>
      </c>
      <c r="F24" s="75">
        <v>0</v>
      </c>
      <c r="G24" s="75">
        <v>0</v>
      </c>
      <c r="H24" s="75">
        <v>79.0465232616308</v>
      </c>
      <c r="I24" s="75">
        <v>0</v>
      </c>
      <c r="J24" s="75">
        <v>0.0307653826913457</v>
      </c>
      <c r="K24" s="75">
        <v>0</v>
      </c>
      <c r="L24" s="75">
        <v>29.407603801901</v>
      </c>
      <c r="M24" s="75">
        <v>0.514807403701851</v>
      </c>
      <c r="N24" s="75">
        <v>0.0328164082041021</v>
      </c>
      <c r="O24" s="75">
        <v>0.367133566783392</v>
      </c>
      <c r="P24" s="75">
        <v>0</v>
      </c>
      <c r="Q24" s="75">
        <v>13.6003501750875</v>
      </c>
      <c r="R24" s="75"/>
      <c r="S24" s="75"/>
      <c r="T24" s="75"/>
      <c r="U24" s="75"/>
      <c r="V24" s="75"/>
      <c r="W24" s="75">
        <v>1</v>
      </c>
      <c r="X24" s="75">
        <v>8</v>
      </c>
      <c r="Y24" s="75">
        <v>0</v>
      </c>
      <c r="Z24" s="75"/>
      <c r="AA24" s="75">
        <v>0</v>
      </c>
      <c r="AB24" s="75">
        <v>20</v>
      </c>
      <c r="AC24" s="75">
        <v>3</v>
      </c>
      <c r="AD24" s="75">
        <v>0</v>
      </c>
      <c r="AE24" s="75"/>
      <c r="AF24" s="75">
        <v>25</v>
      </c>
      <c r="AG24" s="75">
        <v>0</v>
      </c>
      <c r="AH24" s="76"/>
      <c r="AI24" s="76"/>
      <c r="AJ24" s="76"/>
      <c r="AK24" s="76"/>
      <c r="AL24" s="74">
        <v>0</v>
      </c>
    </row>
    <row r="25" s="50" customFormat="1" ht="39" customHeight="1" spans="1:38">
      <c r="A25" s="72" t="s">
        <v>57</v>
      </c>
      <c r="B25" s="77" t="s">
        <v>58</v>
      </c>
      <c r="C25" s="74">
        <v>11655</v>
      </c>
      <c r="D25" s="75">
        <v>522.470825838619</v>
      </c>
      <c r="E25" s="75">
        <v>182.165798857648</v>
      </c>
      <c r="F25" s="75">
        <v>95.4053457035564</v>
      </c>
      <c r="G25" s="75">
        <v>433.958029600177</v>
      </c>
      <c r="H25" s="75">
        <v>2032.71669167917</v>
      </c>
      <c r="I25" s="75">
        <v>0</v>
      </c>
      <c r="J25" s="75">
        <v>0.791145572786393</v>
      </c>
      <c r="K25" s="75">
        <v>0</v>
      </c>
      <c r="L25" s="75">
        <v>756.22968150742</v>
      </c>
      <c r="M25" s="75">
        <v>13.2385025846256</v>
      </c>
      <c r="N25" s="75">
        <v>0.843888610972153</v>
      </c>
      <c r="O25" s="75">
        <v>9.44100383525096</v>
      </c>
      <c r="P25" s="75">
        <v>0</v>
      </c>
      <c r="Q25" s="75">
        <v>349.739086209772</v>
      </c>
      <c r="R25" s="75"/>
      <c r="S25" s="75"/>
      <c r="T25" s="75"/>
      <c r="U25" s="75"/>
      <c r="V25" s="75"/>
      <c r="W25" s="75">
        <v>1376</v>
      </c>
      <c r="X25" s="75">
        <v>938</v>
      </c>
      <c r="Y25" s="75">
        <v>702</v>
      </c>
      <c r="Z25" s="75"/>
      <c r="AA25" s="75">
        <v>0</v>
      </c>
      <c r="AB25" s="75">
        <v>2471</v>
      </c>
      <c r="AC25" s="75">
        <v>305</v>
      </c>
      <c r="AD25" s="75">
        <v>928</v>
      </c>
      <c r="AE25" s="75"/>
      <c r="AF25" s="75">
        <v>432</v>
      </c>
      <c r="AG25" s="75">
        <v>106</v>
      </c>
      <c r="AH25" s="76"/>
      <c r="AI25" s="76"/>
      <c r="AJ25" s="76"/>
      <c r="AK25" s="76"/>
      <c r="AL25" s="74">
        <v>0</v>
      </c>
    </row>
    <row r="26" s="50" customFormat="1" ht="39" customHeight="1" spans="1:38">
      <c r="A26" s="72" t="s">
        <v>59</v>
      </c>
      <c r="B26" s="77" t="s">
        <v>60</v>
      </c>
      <c r="C26" s="74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0</v>
      </c>
      <c r="R26" s="75"/>
      <c r="S26" s="75"/>
      <c r="T26" s="75"/>
      <c r="U26" s="75"/>
      <c r="V26" s="75"/>
      <c r="W26" s="75">
        <v>0</v>
      </c>
      <c r="X26" s="75">
        <v>0</v>
      </c>
      <c r="Y26" s="75">
        <v>0</v>
      </c>
      <c r="Z26" s="75"/>
      <c r="AA26" s="75">
        <v>0</v>
      </c>
      <c r="AB26" s="75">
        <v>0</v>
      </c>
      <c r="AC26" s="75">
        <v>0</v>
      </c>
      <c r="AD26" s="75">
        <v>0</v>
      </c>
      <c r="AE26" s="75"/>
      <c r="AF26" s="75"/>
      <c r="AG26" s="75">
        <v>0</v>
      </c>
      <c r="AH26" s="76"/>
      <c r="AI26" s="76"/>
      <c r="AJ26" s="76"/>
      <c r="AK26" s="76"/>
      <c r="AL26" s="74">
        <v>0</v>
      </c>
    </row>
    <row r="27" s="50" customFormat="1" ht="39" customHeight="1" spans="1:38">
      <c r="A27" s="72" t="s">
        <v>61</v>
      </c>
      <c r="B27" s="77" t="s">
        <v>62</v>
      </c>
      <c r="C27" s="74">
        <v>3500</v>
      </c>
      <c r="D27" s="75">
        <v>114.740351541544</v>
      </c>
      <c r="E27" s="75">
        <v>40.0056170911042</v>
      </c>
      <c r="F27" s="75">
        <v>20.952065385465</v>
      </c>
      <c r="G27" s="75">
        <v>95.3019659818865</v>
      </c>
      <c r="H27" s="75">
        <v>1188.26846756712</v>
      </c>
      <c r="I27" s="75">
        <v>0</v>
      </c>
      <c r="J27" s="75">
        <v>0.46248124062031</v>
      </c>
      <c r="K27" s="75">
        <v>0</v>
      </c>
      <c r="L27" s="75">
        <v>442.0704018676</v>
      </c>
      <c r="M27" s="75">
        <v>7.73885275971319</v>
      </c>
      <c r="N27" s="75">
        <v>0.493313323328331</v>
      </c>
      <c r="O27" s="75">
        <v>5.5189428047357</v>
      </c>
      <c r="P27" s="75">
        <v>0</v>
      </c>
      <c r="Q27" s="75">
        <v>204.447540436885</v>
      </c>
      <c r="R27" s="75"/>
      <c r="S27" s="75"/>
      <c r="T27" s="75"/>
      <c r="U27" s="75"/>
      <c r="V27" s="75"/>
      <c r="W27" s="75">
        <v>55</v>
      </c>
      <c r="X27" s="75">
        <v>999</v>
      </c>
      <c r="Y27" s="75">
        <v>0</v>
      </c>
      <c r="Z27" s="75"/>
      <c r="AA27" s="75">
        <v>0</v>
      </c>
      <c r="AB27" s="75">
        <v>86</v>
      </c>
      <c r="AC27" s="75">
        <v>98</v>
      </c>
      <c r="AD27" s="75">
        <v>116</v>
      </c>
      <c r="AE27" s="75"/>
      <c r="AF27" s="75">
        <v>26</v>
      </c>
      <c r="AG27" s="75">
        <v>0</v>
      </c>
      <c r="AH27" s="76"/>
      <c r="AI27" s="76"/>
      <c r="AJ27" s="76"/>
      <c r="AK27" s="76"/>
      <c r="AL27" s="74">
        <v>0</v>
      </c>
    </row>
    <row r="28" s="50" customFormat="1" ht="39" customHeight="1" spans="1:38">
      <c r="A28" s="72" t="s">
        <v>63</v>
      </c>
      <c r="B28" s="78" t="s">
        <v>64</v>
      </c>
      <c r="C28" s="74">
        <v>2200</v>
      </c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9">
        <v>2200</v>
      </c>
      <c r="AL28" s="76"/>
    </row>
    <row r="29" s="50" customFormat="1" ht="39" customHeight="1" spans="1:38">
      <c r="A29" s="72" t="s">
        <v>65</v>
      </c>
      <c r="B29" s="73" t="s">
        <v>20</v>
      </c>
      <c r="C29" s="74">
        <v>985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6"/>
      <c r="AI29" s="76"/>
      <c r="AJ29" s="76"/>
      <c r="AK29" s="79">
        <v>0</v>
      </c>
      <c r="AL29" s="74">
        <v>985</v>
      </c>
    </row>
    <row r="30" s="50" customFormat="1" ht="39" customHeight="1" spans="1:38">
      <c r="A30" s="72" t="s">
        <v>66</v>
      </c>
      <c r="B30" s="77" t="s">
        <v>67</v>
      </c>
      <c r="C30" s="74">
        <v>3386</v>
      </c>
      <c r="D30" s="76">
        <v>0</v>
      </c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9">
        <v>3386</v>
      </c>
      <c r="AI30" s="76"/>
      <c r="AJ30" s="76"/>
      <c r="AK30" s="76"/>
      <c r="AL30" s="76"/>
    </row>
    <row r="31" s="50" customFormat="1" ht="39" customHeight="1" spans="1:38">
      <c r="A31" s="72" t="s">
        <v>68</v>
      </c>
      <c r="B31" s="77" t="s">
        <v>69</v>
      </c>
      <c r="C31" s="74">
        <v>20</v>
      </c>
      <c r="D31" s="76">
        <v>0</v>
      </c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9">
        <v>20</v>
      </c>
      <c r="AI31" s="76"/>
      <c r="AJ31" s="76"/>
      <c r="AK31" s="76"/>
      <c r="AL31" s="76"/>
    </row>
    <row r="32" s="50" customFormat="1" ht="39" customHeight="1" spans="1:38">
      <c r="A32" s="72" t="s">
        <v>70</v>
      </c>
      <c r="B32" s="73" t="s">
        <v>18</v>
      </c>
      <c r="C32" s="74">
        <v>17678</v>
      </c>
      <c r="D32" s="76">
        <v>0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9">
        <v>17678</v>
      </c>
      <c r="AK32" s="76"/>
      <c r="AL32" s="76"/>
    </row>
    <row r="33" s="50" customFormat="1" ht="39" customHeight="1" spans="1:38">
      <c r="A33" s="72" t="s">
        <v>71</v>
      </c>
      <c r="B33" s="73" t="s">
        <v>17</v>
      </c>
      <c r="C33" s="74">
        <v>3221</v>
      </c>
      <c r="D33" s="76">
        <v>0</v>
      </c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9">
        <v>3221</v>
      </c>
      <c r="AJ33" s="76"/>
      <c r="AK33" s="76"/>
      <c r="AL33" s="76"/>
    </row>
    <row r="34" s="50" customFormat="1" ht="39" customHeight="1" spans="1:38">
      <c r="A34" s="72"/>
      <c r="B34" s="80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</row>
    <row r="35" s="50" customFormat="1" ht="39" customHeight="1" spans="1:38">
      <c r="A35" s="82" t="s">
        <v>72</v>
      </c>
      <c r="B35" s="83"/>
      <c r="C35" s="74">
        <v>242499</v>
      </c>
      <c r="D35" s="74">
        <f>SUM(D7:D34)</f>
        <v>16393.4748019818</v>
      </c>
      <c r="E35" s="74">
        <f t="shared" ref="E35:AL35" si="0">SUM(E7:E34)</f>
        <v>5715.7840891161</v>
      </c>
      <c r="F35" s="74">
        <f t="shared" si="0"/>
        <v>2993.51667771151</v>
      </c>
      <c r="G35" s="74">
        <f t="shared" si="0"/>
        <v>13616.2244311906</v>
      </c>
      <c r="H35" s="74">
        <f t="shared" si="0"/>
        <v>33264.447890612</v>
      </c>
      <c r="I35" s="74">
        <f t="shared" si="0"/>
        <v>0</v>
      </c>
      <c r="J35" s="74">
        <f t="shared" si="0"/>
        <v>12.9467233616808</v>
      </c>
      <c r="K35" s="74">
        <f t="shared" si="0"/>
        <v>0</v>
      </c>
      <c r="L35" s="74">
        <f t="shared" si="0"/>
        <v>12375.3413039853</v>
      </c>
      <c r="M35" s="74">
        <f t="shared" si="0"/>
        <v>216.641837585459</v>
      </c>
      <c r="N35" s="74">
        <f t="shared" si="0"/>
        <v>13.8098382524596</v>
      </c>
      <c r="O35" s="74">
        <f t="shared" si="0"/>
        <v>154.497565449391</v>
      </c>
      <c r="P35" s="74">
        <f t="shared" si="0"/>
        <v>0</v>
      </c>
      <c r="Q35" s="74">
        <f t="shared" si="0"/>
        <v>5723.31484075371</v>
      </c>
      <c r="R35" s="74">
        <f t="shared" si="0"/>
        <v>0</v>
      </c>
      <c r="S35" s="74">
        <f t="shared" si="0"/>
        <v>0</v>
      </c>
      <c r="T35" s="74">
        <f t="shared" si="0"/>
        <v>0</v>
      </c>
      <c r="U35" s="74">
        <f t="shared" si="0"/>
        <v>54</v>
      </c>
      <c r="V35" s="74">
        <f t="shared" si="0"/>
        <v>0</v>
      </c>
      <c r="W35" s="74">
        <f t="shared" si="0"/>
        <v>10750</v>
      </c>
      <c r="X35" s="74">
        <f t="shared" si="0"/>
        <v>18523</v>
      </c>
      <c r="Y35" s="74">
        <f t="shared" si="0"/>
        <v>20831</v>
      </c>
      <c r="Z35" s="74">
        <f t="shared" si="0"/>
        <v>12188</v>
      </c>
      <c r="AA35" s="74">
        <f t="shared" si="0"/>
        <v>728</v>
      </c>
      <c r="AB35" s="74">
        <f t="shared" si="0"/>
        <v>15560</v>
      </c>
      <c r="AC35" s="74">
        <f t="shared" si="0"/>
        <v>8303</v>
      </c>
      <c r="AD35" s="74">
        <f t="shared" si="0"/>
        <v>16665</v>
      </c>
      <c r="AE35" s="74">
        <f t="shared" si="0"/>
        <v>2990</v>
      </c>
      <c r="AF35" s="74">
        <f t="shared" si="0"/>
        <v>1656</v>
      </c>
      <c r="AG35" s="74">
        <f t="shared" si="0"/>
        <v>16281</v>
      </c>
      <c r="AH35" s="74">
        <f t="shared" si="0"/>
        <v>3406</v>
      </c>
      <c r="AI35" s="74">
        <f t="shared" si="0"/>
        <v>3221</v>
      </c>
      <c r="AJ35" s="74">
        <f t="shared" si="0"/>
        <v>17678</v>
      </c>
      <c r="AK35" s="74">
        <f t="shared" si="0"/>
        <v>2200</v>
      </c>
      <c r="AL35" s="74">
        <f t="shared" si="0"/>
        <v>985</v>
      </c>
    </row>
    <row r="40" hidden="1" spans="1:38">
      <c r="B40" s="3" t="s">
        <v>104</v>
      </c>
      <c r="C40" s="3" t="s">
        <v>105</v>
      </c>
      <c r="E40" s="84"/>
      <c r="F40" s="84"/>
      <c r="G40" s="84"/>
      <c r="H40" s="84"/>
    </row>
    <row r="41" hidden="1" spans="1:38">
      <c r="B41" s="3">
        <f>SUM(H41:Q41)</f>
        <v>11521</v>
      </c>
      <c r="C41" s="3">
        <f>SUM(D41:G41)</f>
        <v>5260</v>
      </c>
      <c r="D41" s="3">
        <v>2227</v>
      </c>
      <c r="E41" s="3">
        <v>777</v>
      </c>
      <c r="F41" s="3">
        <v>407</v>
      </c>
      <c r="G41" s="3">
        <v>1849</v>
      </c>
      <c r="H41" s="85">
        <v>7254</v>
      </c>
      <c r="I41" s="85"/>
      <c r="J41" s="85">
        <v>15</v>
      </c>
      <c r="K41" s="85"/>
      <c r="L41" s="85">
        <v>2625</v>
      </c>
      <c r="M41" s="85">
        <v>251</v>
      </c>
      <c r="N41" s="85">
        <v>16</v>
      </c>
      <c r="O41" s="85">
        <v>179</v>
      </c>
      <c r="P41" s="85"/>
      <c r="Q41" s="85">
        <v>1181</v>
      </c>
      <c r="T41" s="3">
        <v>50</v>
      </c>
      <c r="W41" s="3">
        <v>759</v>
      </c>
      <c r="X41" s="3">
        <v>1453</v>
      </c>
      <c r="Z41" s="3">
        <v>2872</v>
      </c>
      <c r="AA41" s="3">
        <v>131</v>
      </c>
      <c r="AB41" s="3">
        <v>696</v>
      </c>
      <c r="AC41" s="3">
        <v>320</v>
      </c>
      <c r="AD41" s="3">
        <v>1926</v>
      </c>
      <c r="AE41" s="3">
        <v>74</v>
      </c>
      <c r="AF41" s="3">
        <v>1716</v>
      </c>
      <c r="AG41" s="3">
        <v>718</v>
      </c>
    </row>
    <row r="42" hidden="1" spans="1:38">
      <c r="B42" s="3">
        <f t="shared" ref="B42:B62" si="1">SUM(H42:Q42)</f>
        <v>0</v>
      </c>
      <c r="C42" s="3">
        <f t="shared" ref="C42:C62" si="2">SUM(D42:G42)</f>
        <v>0</v>
      </c>
      <c r="D42" s="3">
        <v>0</v>
      </c>
      <c r="E42" s="3">
        <v>0</v>
      </c>
      <c r="F42" s="3">
        <v>0</v>
      </c>
      <c r="G42" s="3">
        <v>0</v>
      </c>
      <c r="H42" s="85">
        <v>0</v>
      </c>
      <c r="I42" s="85"/>
      <c r="J42" s="85"/>
      <c r="K42" s="85"/>
      <c r="L42" s="85">
        <v>0</v>
      </c>
      <c r="M42" s="85"/>
      <c r="N42" s="85"/>
      <c r="O42" s="85"/>
      <c r="P42" s="85"/>
      <c r="Q42" s="85">
        <v>0</v>
      </c>
      <c r="W42" s="3">
        <v>0</v>
      </c>
      <c r="X42" s="3">
        <v>0</v>
      </c>
      <c r="Z42" s="3">
        <v>0</v>
      </c>
      <c r="AA42" s="3">
        <v>0</v>
      </c>
      <c r="AB42" s="3">
        <v>0</v>
      </c>
      <c r="AC42" s="3">
        <v>0</v>
      </c>
      <c r="AF42" s="3">
        <v>0</v>
      </c>
      <c r="AG42" s="3">
        <v>0</v>
      </c>
    </row>
    <row r="43" hidden="1" spans="1:38">
      <c r="B43" s="3">
        <f t="shared" si="1"/>
        <v>45</v>
      </c>
      <c r="C43" s="3">
        <f t="shared" si="2"/>
        <v>0</v>
      </c>
      <c r="D43" s="3">
        <v>0</v>
      </c>
      <c r="E43" s="3">
        <v>0</v>
      </c>
      <c r="F43" s="3">
        <v>0</v>
      </c>
      <c r="G43" s="3">
        <v>0</v>
      </c>
      <c r="H43" s="85">
        <v>29</v>
      </c>
      <c r="I43" s="85"/>
      <c r="J43" s="85"/>
      <c r="K43" s="85"/>
      <c r="L43" s="85">
        <v>11</v>
      </c>
      <c r="M43" s="85"/>
      <c r="N43" s="85"/>
      <c r="O43" s="85"/>
      <c r="P43" s="85"/>
      <c r="Q43" s="85">
        <v>5</v>
      </c>
      <c r="W43" s="3">
        <v>0</v>
      </c>
      <c r="X43" s="3">
        <v>0</v>
      </c>
      <c r="Z43" s="3">
        <v>0</v>
      </c>
      <c r="AA43" s="3">
        <v>0</v>
      </c>
      <c r="AB43" s="3">
        <v>0</v>
      </c>
      <c r="AC43" s="3">
        <v>0</v>
      </c>
      <c r="AF43" s="3">
        <v>0</v>
      </c>
      <c r="AG43" s="3">
        <v>0</v>
      </c>
    </row>
    <row r="44" hidden="1" spans="1:38">
      <c r="B44" s="3">
        <f t="shared" si="1"/>
        <v>199</v>
      </c>
      <c r="C44" s="3">
        <f t="shared" si="2"/>
        <v>202</v>
      </c>
      <c r="D44" s="3">
        <v>85</v>
      </c>
      <c r="E44" s="3">
        <v>30</v>
      </c>
      <c r="F44" s="3">
        <v>16</v>
      </c>
      <c r="G44" s="3">
        <v>71</v>
      </c>
      <c r="H44" s="85">
        <v>127</v>
      </c>
      <c r="I44" s="85"/>
      <c r="J44" s="85"/>
      <c r="K44" s="85"/>
      <c r="L44" s="85">
        <v>50</v>
      </c>
      <c r="M44" s="85"/>
      <c r="N44" s="85"/>
      <c r="O44" s="85"/>
      <c r="P44" s="85"/>
      <c r="Q44" s="85">
        <v>22</v>
      </c>
      <c r="W44" s="3">
        <v>6</v>
      </c>
      <c r="X44" s="3">
        <v>3</v>
      </c>
      <c r="Z44" s="3">
        <v>0</v>
      </c>
      <c r="AA44" s="3">
        <v>0</v>
      </c>
    </row>
    <row r="45" hidden="1" spans="1:38">
      <c r="B45" s="3">
        <f t="shared" si="1"/>
        <v>9851</v>
      </c>
      <c r="C45" s="3">
        <f t="shared" si="2"/>
        <v>11448</v>
      </c>
      <c r="D45" s="3">
        <v>4848</v>
      </c>
      <c r="E45" s="3">
        <v>1690</v>
      </c>
      <c r="F45" s="3">
        <v>885</v>
      </c>
      <c r="G45" s="3">
        <v>4025</v>
      </c>
      <c r="H45" s="85">
        <v>6680</v>
      </c>
      <c r="I45" s="85"/>
      <c r="J45" s="85"/>
      <c r="K45" s="85"/>
      <c r="L45" s="85">
        <v>2063</v>
      </c>
      <c r="M45" s="85"/>
      <c r="N45" s="85"/>
      <c r="O45" s="85"/>
      <c r="P45" s="85"/>
      <c r="Q45" s="85">
        <v>1108</v>
      </c>
      <c r="W45" s="3">
        <v>641</v>
      </c>
      <c r="X45" s="3">
        <v>3475</v>
      </c>
      <c r="Z45" s="3">
        <v>9687</v>
      </c>
      <c r="AA45" s="3">
        <v>188</v>
      </c>
      <c r="AB45" s="3">
        <v>147</v>
      </c>
      <c r="AC45" s="3">
        <v>1132</v>
      </c>
      <c r="AD45" s="3">
        <v>1332</v>
      </c>
      <c r="AF45" s="3">
        <v>3998</v>
      </c>
      <c r="AG45" s="3">
        <v>1121</v>
      </c>
    </row>
    <row r="46" hidden="1" spans="1:38">
      <c r="B46" s="3">
        <f t="shared" si="1"/>
        <v>321</v>
      </c>
      <c r="C46" s="3">
        <f t="shared" si="2"/>
        <v>526</v>
      </c>
      <c r="D46" s="3">
        <v>222</v>
      </c>
      <c r="E46" s="3">
        <v>78</v>
      </c>
      <c r="F46" s="3">
        <v>41</v>
      </c>
      <c r="G46" s="3">
        <v>185</v>
      </c>
      <c r="H46" s="85">
        <v>205</v>
      </c>
      <c r="I46" s="85"/>
      <c r="J46" s="85"/>
      <c r="K46" s="85"/>
      <c r="L46" s="85">
        <v>80</v>
      </c>
      <c r="M46" s="85"/>
      <c r="N46" s="85"/>
      <c r="O46" s="85"/>
      <c r="P46" s="85"/>
      <c r="Q46" s="85">
        <v>36</v>
      </c>
      <c r="W46" s="3">
        <v>21</v>
      </c>
      <c r="X46" s="3">
        <v>113</v>
      </c>
      <c r="Z46" s="3">
        <v>0</v>
      </c>
      <c r="AA46" s="3">
        <v>0</v>
      </c>
      <c r="AB46" s="3">
        <v>298</v>
      </c>
      <c r="AC46" s="3">
        <v>37</v>
      </c>
      <c r="AF46" s="3">
        <v>12</v>
      </c>
      <c r="AG46" s="3">
        <v>72</v>
      </c>
    </row>
    <row r="47" hidden="1" spans="1:38">
      <c r="B47" s="3">
        <f t="shared" si="1"/>
        <v>604</v>
      </c>
      <c r="C47" s="3">
        <f t="shared" si="2"/>
        <v>470</v>
      </c>
      <c r="D47" s="3">
        <v>200</v>
      </c>
      <c r="E47" s="3">
        <v>69</v>
      </c>
      <c r="F47" s="3">
        <v>36</v>
      </c>
      <c r="G47" s="3">
        <v>165</v>
      </c>
      <c r="H47" s="85">
        <v>385</v>
      </c>
      <c r="I47" s="85"/>
      <c r="J47" s="85"/>
      <c r="K47" s="85"/>
      <c r="L47" s="85">
        <v>151</v>
      </c>
      <c r="M47" s="85"/>
      <c r="N47" s="85"/>
      <c r="O47" s="85"/>
      <c r="P47" s="85"/>
      <c r="Q47" s="85">
        <v>68</v>
      </c>
      <c r="W47" s="3">
        <v>1369</v>
      </c>
      <c r="X47" s="3">
        <v>8000</v>
      </c>
      <c r="Z47" s="3">
        <v>0</v>
      </c>
      <c r="AA47" s="3">
        <v>0</v>
      </c>
      <c r="AB47" s="3">
        <v>571</v>
      </c>
      <c r="AC47" s="3">
        <v>296</v>
      </c>
      <c r="AF47" s="3">
        <v>32</v>
      </c>
      <c r="AG47" s="3">
        <v>21</v>
      </c>
    </row>
    <row r="48" hidden="1" spans="1:38">
      <c r="B48" s="3">
        <f t="shared" si="1"/>
        <v>6768</v>
      </c>
      <c r="C48" s="3">
        <f t="shared" si="2"/>
        <v>2255</v>
      </c>
      <c r="D48" s="3">
        <v>955</v>
      </c>
      <c r="E48" s="3">
        <v>333</v>
      </c>
      <c r="F48" s="3">
        <v>174</v>
      </c>
      <c r="G48" s="3">
        <v>793</v>
      </c>
      <c r="H48" s="85">
        <v>4315</v>
      </c>
      <c r="I48" s="85"/>
      <c r="J48" s="85"/>
      <c r="K48" s="85"/>
      <c r="L48" s="85">
        <v>1692</v>
      </c>
      <c r="M48" s="85"/>
      <c r="N48" s="85"/>
      <c r="O48" s="85"/>
      <c r="P48" s="85"/>
      <c r="Q48" s="85">
        <v>761</v>
      </c>
      <c r="W48" s="3">
        <v>440</v>
      </c>
      <c r="X48" s="3">
        <v>387</v>
      </c>
      <c r="Z48" s="3">
        <v>9705</v>
      </c>
      <c r="AA48" s="3">
        <v>37</v>
      </c>
      <c r="AB48" s="3">
        <v>0</v>
      </c>
      <c r="AC48" s="3">
        <v>78</v>
      </c>
      <c r="AD48" s="3">
        <v>553</v>
      </c>
      <c r="AF48" s="3">
        <v>1001</v>
      </c>
      <c r="AG48" s="3">
        <v>8332</v>
      </c>
    </row>
    <row r="49" hidden="1" spans="2:33">
      <c r="B49" s="3">
        <f t="shared" si="1"/>
        <v>9443</v>
      </c>
      <c r="C49" s="3">
        <f t="shared" si="2"/>
        <v>1110</v>
      </c>
      <c r="D49" s="3">
        <v>469</v>
      </c>
      <c r="E49" s="3">
        <v>164</v>
      </c>
      <c r="F49" s="3">
        <v>86</v>
      </c>
      <c r="G49" s="3">
        <v>391</v>
      </c>
      <c r="H49" s="85">
        <v>6020</v>
      </c>
      <c r="I49" s="85"/>
      <c r="J49" s="85"/>
      <c r="K49" s="85"/>
      <c r="L49" s="85">
        <v>2361</v>
      </c>
      <c r="M49" s="85"/>
      <c r="N49" s="85"/>
      <c r="O49" s="85"/>
      <c r="P49" s="85"/>
      <c r="Q49" s="85">
        <v>1062</v>
      </c>
      <c r="W49" s="3">
        <v>290</v>
      </c>
      <c r="X49" s="3">
        <v>1575</v>
      </c>
      <c r="Z49" s="3">
        <v>0</v>
      </c>
      <c r="AA49" s="3">
        <v>0</v>
      </c>
      <c r="AB49" s="3">
        <v>4146</v>
      </c>
      <c r="AC49" s="3">
        <v>513</v>
      </c>
      <c r="AD49" s="3">
        <v>462</v>
      </c>
      <c r="AF49" s="3">
        <v>1706</v>
      </c>
      <c r="AG49" s="3">
        <v>254</v>
      </c>
    </row>
    <row r="50" hidden="1" spans="2:33">
      <c r="B50" s="3">
        <f t="shared" si="1"/>
        <v>361</v>
      </c>
      <c r="C50" s="3">
        <f t="shared" si="2"/>
        <v>90</v>
      </c>
      <c r="D50" s="3">
        <v>38</v>
      </c>
      <c r="E50" s="3">
        <v>13</v>
      </c>
      <c r="F50" s="3">
        <v>7</v>
      </c>
      <c r="G50" s="3">
        <v>32</v>
      </c>
      <c r="H50" s="85">
        <v>230</v>
      </c>
      <c r="I50" s="85"/>
      <c r="J50" s="85"/>
      <c r="K50" s="85"/>
      <c r="L50" s="85">
        <v>90</v>
      </c>
      <c r="M50" s="85"/>
      <c r="N50" s="85"/>
      <c r="O50" s="85"/>
      <c r="P50" s="85"/>
      <c r="Q50" s="85">
        <v>41</v>
      </c>
      <c r="W50" s="3">
        <v>550</v>
      </c>
      <c r="X50" s="3">
        <v>127</v>
      </c>
      <c r="Z50" s="3">
        <v>0</v>
      </c>
      <c r="AA50" s="3">
        <v>0</v>
      </c>
      <c r="AB50" s="3">
        <v>335</v>
      </c>
      <c r="AC50" s="3">
        <v>41</v>
      </c>
      <c r="AF50" s="3">
        <v>14</v>
      </c>
      <c r="AG50" s="3">
        <v>58</v>
      </c>
    </row>
    <row r="51" hidden="1" spans="2:33">
      <c r="B51" s="3">
        <f t="shared" si="1"/>
        <v>8022</v>
      </c>
      <c r="C51" s="3">
        <f t="shared" si="2"/>
        <v>7182</v>
      </c>
      <c r="D51" s="3">
        <v>3040</v>
      </c>
      <c r="E51" s="3">
        <v>1061</v>
      </c>
      <c r="F51" s="3">
        <v>556</v>
      </c>
      <c r="G51" s="3">
        <v>2525</v>
      </c>
      <c r="H51" s="85">
        <v>5114</v>
      </c>
      <c r="I51" s="85"/>
      <c r="J51" s="85"/>
      <c r="K51" s="85"/>
      <c r="L51" s="85">
        <v>2006</v>
      </c>
      <c r="M51" s="85"/>
      <c r="N51" s="85"/>
      <c r="O51" s="85"/>
      <c r="P51" s="85"/>
      <c r="Q51" s="85">
        <v>902</v>
      </c>
      <c r="W51" s="3">
        <v>431</v>
      </c>
      <c r="X51" s="3">
        <v>2342</v>
      </c>
      <c r="Z51" s="3">
        <v>4601</v>
      </c>
      <c r="AA51" s="3">
        <v>313</v>
      </c>
      <c r="AB51" s="3">
        <v>1326</v>
      </c>
      <c r="AC51" s="3">
        <v>763</v>
      </c>
      <c r="AF51" s="3">
        <v>1661</v>
      </c>
      <c r="AG51" s="3">
        <v>354</v>
      </c>
    </row>
    <row r="52" hidden="1" spans="2:33">
      <c r="B52" s="3">
        <f t="shared" si="1"/>
        <v>4653</v>
      </c>
      <c r="C52" s="3">
        <f t="shared" si="2"/>
        <v>456</v>
      </c>
      <c r="D52" s="3">
        <v>194</v>
      </c>
      <c r="E52" s="3">
        <v>67</v>
      </c>
      <c r="F52" s="3">
        <v>35</v>
      </c>
      <c r="G52" s="3">
        <v>160</v>
      </c>
      <c r="H52" s="85">
        <v>2966</v>
      </c>
      <c r="I52" s="85"/>
      <c r="J52" s="85"/>
      <c r="K52" s="85"/>
      <c r="L52" s="85">
        <v>1163</v>
      </c>
      <c r="M52" s="85"/>
      <c r="N52" s="85"/>
      <c r="O52" s="85"/>
      <c r="P52" s="85"/>
      <c r="Q52" s="85">
        <v>524</v>
      </c>
      <c r="W52" s="3">
        <v>119</v>
      </c>
      <c r="X52" s="3">
        <v>647</v>
      </c>
      <c r="Z52" s="3">
        <v>0</v>
      </c>
      <c r="AA52" s="3">
        <v>0</v>
      </c>
      <c r="AB52" s="3">
        <v>1703</v>
      </c>
      <c r="AC52" s="3">
        <v>211</v>
      </c>
      <c r="AF52" s="3">
        <v>73</v>
      </c>
      <c r="AG52" s="3">
        <v>148</v>
      </c>
    </row>
    <row r="53" hidden="1" spans="2:33">
      <c r="B53" s="3">
        <f t="shared" si="1"/>
        <v>1654</v>
      </c>
      <c r="C53" s="3">
        <f t="shared" si="2"/>
        <v>409</v>
      </c>
      <c r="D53" s="3">
        <v>173</v>
      </c>
      <c r="E53" s="3">
        <v>60</v>
      </c>
      <c r="F53" s="3">
        <v>32</v>
      </c>
      <c r="G53" s="3">
        <v>144</v>
      </c>
      <c r="H53" s="85">
        <v>1054</v>
      </c>
      <c r="I53" s="85"/>
      <c r="J53" s="85"/>
      <c r="K53" s="85"/>
      <c r="L53" s="85">
        <v>414</v>
      </c>
      <c r="M53" s="85"/>
      <c r="N53" s="85"/>
      <c r="O53" s="85"/>
      <c r="P53" s="85"/>
      <c r="Q53" s="85">
        <v>186</v>
      </c>
      <c r="W53" s="3">
        <v>2555</v>
      </c>
      <c r="X53" s="3">
        <v>583</v>
      </c>
      <c r="Z53" s="3">
        <v>0</v>
      </c>
      <c r="AA53" s="3">
        <v>0</v>
      </c>
      <c r="AB53" s="3">
        <v>1531</v>
      </c>
      <c r="AC53" s="3">
        <v>189</v>
      </c>
      <c r="AF53" s="3">
        <v>66</v>
      </c>
      <c r="AG53" s="3">
        <v>223</v>
      </c>
    </row>
    <row r="54" hidden="1" spans="2:33">
      <c r="B54" s="3">
        <f t="shared" si="1"/>
        <v>1156</v>
      </c>
      <c r="C54" s="3">
        <f t="shared" si="2"/>
        <v>118</v>
      </c>
      <c r="D54" s="3">
        <v>50</v>
      </c>
      <c r="E54" s="3">
        <v>17</v>
      </c>
      <c r="F54" s="3">
        <v>9</v>
      </c>
      <c r="G54" s="3">
        <v>42</v>
      </c>
      <c r="H54" s="85">
        <v>737</v>
      </c>
      <c r="I54" s="85"/>
      <c r="J54" s="85"/>
      <c r="K54" s="85"/>
      <c r="L54" s="85">
        <v>289</v>
      </c>
      <c r="M54" s="85"/>
      <c r="N54" s="85"/>
      <c r="O54" s="85"/>
      <c r="P54" s="85"/>
      <c r="Q54" s="85">
        <v>130</v>
      </c>
      <c r="W54" s="3">
        <v>31</v>
      </c>
      <c r="X54" s="3">
        <v>168</v>
      </c>
      <c r="Z54" s="3">
        <v>0</v>
      </c>
      <c r="AA54" s="3">
        <v>0</v>
      </c>
      <c r="AB54" s="3">
        <v>441</v>
      </c>
      <c r="AC54" s="3">
        <v>55</v>
      </c>
      <c r="AF54" s="3">
        <v>19</v>
      </c>
      <c r="AG54" s="3">
        <v>88</v>
      </c>
    </row>
    <row r="55" hidden="1" spans="2:33">
      <c r="B55" s="3">
        <f t="shared" si="1"/>
        <v>337</v>
      </c>
      <c r="C55" s="3">
        <f t="shared" si="2"/>
        <v>83</v>
      </c>
      <c r="D55" s="3">
        <v>35</v>
      </c>
      <c r="E55" s="3">
        <v>12</v>
      </c>
      <c r="F55" s="3">
        <v>6</v>
      </c>
      <c r="G55" s="3">
        <v>30</v>
      </c>
      <c r="H55" s="85">
        <v>215</v>
      </c>
      <c r="I55" s="85"/>
      <c r="J55" s="85"/>
      <c r="K55" s="85"/>
      <c r="L55" s="85">
        <v>84</v>
      </c>
      <c r="M55" s="85"/>
      <c r="N55" s="85"/>
      <c r="O55" s="85"/>
      <c r="P55" s="85"/>
      <c r="Q55" s="85">
        <v>38</v>
      </c>
      <c r="W55" s="3">
        <v>22</v>
      </c>
      <c r="X55" s="3">
        <v>119</v>
      </c>
      <c r="Z55" s="3">
        <v>0</v>
      </c>
      <c r="AA55" s="3">
        <v>59</v>
      </c>
      <c r="AB55" s="3">
        <v>783</v>
      </c>
      <c r="AC55" s="3">
        <v>39</v>
      </c>
      <c r="AF55" s="3">
        <v>14</v>
      </c>
      <c r="AG55" s="3">
        <v>13</v>
      </c>
    </row>
    <row r="56" hidden="1" spans="2:33">
      <c r="B56" s="3">
        <f t="shared" si="1"/>
        <v>0</v>
      </c>
      <c r="C56" s="3">
        <f t="shared" si="2"/>
        <v>0</v>
      </c>
      <c r="D56" s="3">
        <v>0</v>
      </c>
      <c r="E56" s="3">
        <v>0</v>
      </c>
      <c r="F56" s="3">
        <v>0</v>
      </c>
      <c r="G56" s="3">
        <v>0</v>
      </c>
      <c r="H56" s="85">
        <v>0</v>
      </c>
      <c r="I56" s="85"/>
      <c r="J56" s="85"/>
      <c r="K56" s="85"/>
      <c r="L56" s="85">
        <v>0</v>
      </c>
      <c r="M56" s="85"/>
      <c r="N56" s="85"/>
      <c r="O56" s="85"/>
      <c r="P56" s="85"/>
      <c r="Q56" s="85">
        <v>0</v>
      </c>
      <c r="W56" s="3">
        <v>0</v>
      </c>
      <c r="X56" s="3">
        <v>0</v>
      </c>
      <c r="Z56" s="3">
        <v>0</v>
      </c>
      <c r="AA56" s="3">
        <v>0</v>
      </c>
      <c r="AB56" s="3">
        <v>10</v>
      </c>
      <c r="AC56" s="3">
        <v>0</v>
      </c>
      <c r="AF56" s="3">
        <v>0</v>
      </c>
      <c r="AG56" s="3">
        <v>0</v>
      </c>
    </row>
    <row r="57" hidden="1" spans="2:33">
      <c r="B57" s="3">
        <f t="shared" si="1"/>
        <v>0</v>
      </c>
      <c r="C57" s="3">
        <f t="shared" si="2"/>
        <v>0</v>
      </c>
      <c r="D57" s="3">
        <v>0</v>
      </c>
      <c r="E57" s="3">
        <v>0</v>
      </c>
      <c r="F57" s="3">
        <v>0</v>
      </c>
      <c r="G57" s="3">
        <v>0</v>
      </c>
      <c r="H57" s="85">
        <v>0</v>
      </c>
      <c r="I57" s="85"/>
      <c r="J57" s="85"/>
      <c r="K57" s="85"/>
      <c r="L57" s="85">
        <v>0</v>
      </c>
      <c r="M57" s="85"/>
      <c r="N57" s="85"/>
      <c r="O57" s="85"/>
      <c r="P57" s="85"/>
      <c r="Q57" s="85">
        <v>0</v>
      </c>
      <c r="W57" s="3">
        <v>0</v>
      </c>
      <c r="X57" s="3">
        <v>0</v>
      </c>
      <c r="Z57" s="3">
        <v>0</v>
      </c>
      <c r="AA57" s="3">
        <v>0</v>
      </c>
      <c r="AB57" s="3">
        <v>0</v>
      </c>
      <c r="AC57" s="3">
        <v>0</v>
      </c>
      <c r="AF57" s="3">
        <v>0</v>
      </c>
      <c r="AG57" s="3">
        <v>0</v>
      </c>
    </row>
    <row r="58" hidden="1" spans="2:33">
      <c r="B58" s="3">
        <f t="shared" si="1"/>
        <v>23</v>
      </c>
      <c r="C58" s="3">
        <f t="shared" si="2"/>
        <v>6</v>
      </c>
      <c r="D58" s="3">
        <v>3</v>
      </c>
      <c r="E58" s="3">
        <v>1</v>
      </c>
      <c r="F58" s="3">
        <v>0</v>
      </c>
      <c r="G58" s="3">
        <v>2</v>
      </c>
      <c r="H58" s="85">
        <v>14</v>
      </c>
      <c r="I58" s="85"/>
      <c r="J58" s="85"/>
      <c r="K58" s="85"/>
      <c r="L58" s="85">
        <v>6</v>
      </c>
      <c r="M58" s="85"/>
      <c r="N58" s="85"/>
      <c r="O58" s="85"/>
      <c r="P58" s="85"/>
      <c r="Q58" s="85">
        <v>3</v>
      </c>
      <c r="W58" s="3">
        <v>1</v>
      </c>
      <c r="X58" s="3">
        <v>8</v>
      </c>
      <c r="Z58" s="3">
        <v>0</v>
      </c>
      <c r="AA58" s="3">
        <v>0</v>
      </c>
      <c r="AB58" s="3">
        <v>20</v>
      </c>
      <c r="AC58" s="3">
        <v>3</v>
      </c>
      <c r="AF58" s="3">
        <v>1</v>
      </c>
      <c r="AG58" s="3">
        <v>24</v>
      </c>
    </row>
    <row r="59" hidden="1" spans="2:33">
      <c r="B59" s="3">
        <f t="shared" si="1"/>
        <v>3163</v>
      </c>
      <c r="C59" s="3">
        <f t="shared" si="2"/>
        <v>1864</v>
      </c>
      <c r="D59" s="3">
        <v>789</v>
      </c>
      <c r="E59" s="3">
        <v>275</v>
      </c>
      <c r="F59" s="3">
        <v>144</v>
      </c>
      <c r="G59" s="3">
        <v>656</v>
      </c>
      <c r="H59" s="85">
        <v>2016</v>
      </c>
      <c r="I59" s="85"/>
      <c r="J59" s="85"/>
      <c r="K59" s="85"/>
      <c r="L59" s="85">
        <v>791</v>
      </c>
      <c r="M59" s="85"/>
      <c r="N59" s="85"/>
      <c r="O59" s="85"/>
      <c r="P59" s="85"/>
      <c r="Q59" s="85">
        <v>356</v>
      </c>
      <c r="W59" s="3">
        <v>1376</v>
      </c>
      <c r="X59" s="3">
        <v>938</v>
      </c>
      <c r="Z59" s="3">
        <v>702</v>
      </c>
      <c r="AA59" s="3">
        <v>0</v>
      </c>
      <c r="AB59" s="3">
        <v>2471</v>
      </c>
      <c r="AC59" s="3">
        <v>305</v>
      </c>
      <c r="AF59" s="3">
        <v>106</v>
      </c>
      <c r="AG59" s="3">
        <v>697</v>
      </c>
    </row>
    <row r="60" hidden="1" spans="2:33">
      <c r="B60" s="3">
        <f t="shared" si="1"/>
        <v>0</v>
      </c>
      <c r="C60" s="3">
        <f t="shared" si="2"/>
        <v>0</v>
      </c>
      <c r="D60" s="3">
        <v>0</v>
      </c>
      <c r="E60" s="3">
        <v>0</v>
      </c>
      <c r="F60" s="3">
        <v>0</v>
      </c>
      <c r="G60" s="3">
        <v>0</v>
      </c>
      <c r="H60" s="85">
        <v>0</v>
      </c>
      <c r="I60" s="85"/>
      <c r="J60" s="85"/>
      <c r="K60" s="85"/>
      <c r="L60" s="85">
        <v>0</v>
      </c>
      <c r="M60" s="85"/>
      <c r="N60" s="85"/>
      <c r="O60" s="85"/>
      <c r="P60" s="85"/>
      <c r="Q60" s="85">
        <v>0</v>
      </c>
      <c r="W60" s="3">
        <v>0</v>
      </c>
      <c r="X60" s="3">
        <v>0</v>
      </c>
      <c r="Z60" s="3">
        <v>0</v>
      </c>
      <c r="AA60" s="3">
        <v>0</v>
      </c>
      <c r="AB60" s="3">
        <v>0</v>
      </c>
      <c r="AC60" s="3">
        <v>0</v>
      </c>
      <c r="AF60" s="3">
        <v>0</v>
      </c>
      <c r="AG60" s="3">
        <v>0</v>
      </c>
    </row>
    <row r="61" hidden="1" spans="2:33">
      <c r="B61" s="3">
        <f t="shared" si="1"/>
        <v>1849</v>
      </c>
      <c r="C61" s="3">
        <f t="shared" si="2"/>
        <v>210</v>
      </c>
      <c r="D61" s="3">
        <v>89</v>
      </c>
      <c r="E61" s="3">
        <v>31</v>
      </c>
      <c r="F61" s="3">
        <v>16</v>
      </c>
      <c r="G61" s="3">
        <v>74</v>
      </c>
      <c r="H61" s="85">
        <v>1179</v>
      </c>
      <c r="I61" s="85"/>
      <c r="J61" s="85"/>
      <c r="K61" s="85"/>
      <c r="L61" s="85">
        <v>462</v>
      </c>
      <c r="M61" s="85"/>
      <c r="N61" s="85"/>
      <c r="O61" s="85"/>
      <c r="P61" s="85"/>
      <c r="Q61" s="85">
        <v>208</v>
      </c>
      <c r="W61" s="3">
        <v>55</v>
      </c>
      <c r="X61" s="3">
        <v>999</v>
      </c>
      <c r="Z61" s="3">
        <v>0</v>
      </c>
      <c r="AA61" s="3">
        <v>0</v>
      </c>
      <c r="AB61" s="3">
        <v>86</v>
      </c>
      <c r="AC61" s="3">
        <v>98</v>
      </c>
      <c r="AF61" s="3">
        <v>33</v>
      </c>
      <c r="AG61" s="3">
        <v>370</v>
      </c>
    </row>
    <row r="62" hidden="1" spans="2:33">
      <c r="B62" s="3">
        <f t="shared" si="1"/>
        <v>59970</v>
      </c>
      <c r="C62" s="3">
        <f t="shared" si="2"/>
        <v>31689</v>
      </c>
      <c r="D62" s="3">
        <f t="shared" ref="D62:Q62" si="3">SUM(D41:D61)</f>
        <v>13417</v>
      </c>
      <c r="E62" s="3">
        <f t="shared" si="3"/>
        <v>4678</v>
      </c>
      <c r="F62" s="3">
        <f t="shared" si="3"/>
        <v>2450</v>
      </c>
      <c r="G62" s="3">
        <f t="shared" si="3"/>
        <v>11144</v>
      </c>
      <c r="H62" s="85">
        <f t="shared" si="3"/>
        <v>38540</v>
      </c>
      <c r="I62" s="85">
        <f t="shared" si="3"/>
        <v>0</v>
      </c>
      <c r="J62" s="85">
        <f t="shared" si="3"/>
        <v>15</v>
      </c>
      <c r="K62" s="85">
        <f t="shared" si="3"/>
        <v>0</v>
      </c>
      <c r="L62" s="85">
        <f t="shared" si="3"/>
        <v>14338</v>
      </c>
      <c r="M62" s="85">
        <f t="shared" si="3"/>
        <v>251</v>
      </c>
      <c r="N62" s="85">
        <f t="shared" si="3"/>
        <v>16</v>
      </c>
      <c r="O62" s="85">
        <f t="shared" si="3"/>
        <v>179</v>
      </c>
      <c r="P62" s="85">
        <f t="shared" si="3"/>
        <v>0</v>
      </c>
      <c r="Q62" s="85">
        <f t="shared" si="3"/>
        <v>6631</v>
      </c>
    </row>
    <row r="63" hidden="1" spans="2:33">
      <c r="D63" s="86">
        <f>D62/$C$62</f>
        <v>0.42339613114961</v>
      </c>
      <c r="E63" s="86">
        <f t="shared" ref="D63:H63" si="4">E62/$C$62</f>
        <v>0.147622203288207</v>
      </c>
      <c r="F63" s="86">
        <f t="shared" si="4"/>
        <v>0.0773138944113099</v>
      </c>
      <c r="G63" s="86">
        <f t="shared" si="4"/>
        <v>0.351667771150873</v>
      </c>
      <c r="H63" s="86">
        <f>H62/$B$62</f>
        <v>0.642654660663665</v>
      </c>
      <c r="I63" s="86">
        <f t="shared" ref="I63:Q63" si="5">I62/$B$62</f>
        <v>0</v>
      </c>
      <c r="J63" s="86">
        <f t="shared" si="5"/>
        <v>0.000250125062531266</v>
      </c>
      <c r="K63" s="86">
        <f t="shared" si="5"/>
        <v>0</v>
      </c>
      <c r="L63" s="86">
        <f t="shared" si="5"/>
        <v>0.239086209771552</v>
      </c>
      <c r="M63" s="86">
        <f t="shared" si="5"/>
        <v>0.00418542604635651</v>
      </c>
      <c r="N63" s="86">
        <f t="shared" si="5"/>
        <v>0.000266800066700017</v>
      </c>
      <c r="O63" s="86">
        <f t="shared" si="5"/>
        <v>0.00298482574620644</v>
      </c>
      <c r="P63" s="86">
        <f t="shared" si="5"/>
        <v>0</v>
      </c>
      <c r="Q63" s="86">
        <f t="shared" si="5"/>
        <v>0.110571952642988</v>
      </c>
    </row>
    <row r="64" hidden="1"/>
    <row r="65" hidden="1"/>
    <row r="66" hidden="1"/>
    <row r="67" hidden="1" spans="2:17">
      <c r="B67" s="3">
        <v>6143</v>
      </c>
      <c r="C67" s="3">
        <v>15091</v>
      </c>
      <c r="D67" s="87">
        <f>$D$63*C67</f>
        <v>6389.47101517877</v>
      </c>
      <c r="E67" s="87">
        <f t="shared" ref="E67:E87" si="6">$E$63*C67</f>
        <v>2227.76666982234</v>
      </c>
      <c r="F67" s="87">
        <f>$F$63*C67</f>
        <v>1166.74398056108</v>
      </c>
      <c r="G67" s="87">
        <f>$G$63*C67</f>
        <v>5307.01833443782</v>
      </c>
      <c r="H67" s="87">
        <f>$H$63*B67</f>
        <v>3947.8275804569</v>
      </c>
      <c r="I67" s="87">
        <f>$I$63*B67</f>
        <v>0</v>
      </c>
      <c r="J67" s="87">
        <f>$J$63*B67</f>
        <v>1.53651825912956</v>
      </c>
      <c r="K67" s="87">
        <f>$K$63*B67</f>
        <v>0</v>
      </c>
      <c r="L67" s="87">
        <f>$L$63*B67</f>
        <v>1468.70658662665</v>
      </c>
      <c r="M67" s="87">
        <f>$M$63*B67</f>
        <v>25.7110722027681</v>
      </c>
      <c r="N67" s="87">
        <f>$N$63*B67</f>
        <v>1.6389528097382</v>
      </c>
      <c r="O67" s="87">
        <f>$O$63*B67</f>
        <v>18.3357845589461</v>
      </c>
      <c r="P67" s="87">
        <f>$P$63*B67</f>
        <v>0</v>
      </c>
      <c r="Q67" s="87">
        <f>$Q$63*B67</f>
        <v>679.243505085876</v>
      </c>
    </row>
    <row r="68" hidden="1" spans="2:17">
      <c r="B68" s="3">
        <v>0</v>
      </c>
      <c r="C68" s="3">
        <v>0</v>
      </c>
      <c r="D68" s="87">
        <f t="shared" ref="D68:D87" si="7">$D$63*C68</f>
        <v>0</v>
      </c>
      <c r="E68" s="87">
        <f t="shared" si="6"/>
        <v>0</v>
      </c>
      <c r="F68" s="87">
        <f t="shared" ref="F67:F87" si="8">$F$63*C68</f>
        <v>0</v>
      </c>
      <c r="G68" s="87">
        <f t="shared" ref="G67:G87" si="9">$G$63*C68</f>
        <v>0</v>
      </c>
      <c r="H68" s="87">
        <f>$H$63*B68</f>
        <v>0</v>
      </c>
      <c r="I68" s="87">
        <f t="shared" ref="I68:I87" si="10">$I$63*B68</f>
        <v>0</v>
      </c>
      <c r="J68" s="87">
        <f t="shared" ref="J68:J87" si="11">$J$63*B68</f>
        <v>0</v>
      </c>
      <c r="K68" s="87">
        <f t="shared" ref="K68:K87" si="12">$K$63*B68</f>
        <v>0</v>
      </c>
      <c r="L68" s="87">
        <f t="shared" ref="L68:L87" si="13">$L$63*B68</f>
        <v>0</v>
      </c>
      <c r="M68" s="87">
        <f t="shared" ref="M68:M87" si="14">$M$63*B68</f>
        <v>0</v>
      </c>
      <c r="N68" s="87">
        <f t="shared" ref="N68:N87" si="15">$N$63*B68</f>
        <v>0</v>
      </c>
      <c r="O68" s="87">
        <f t="shared" ref="O68:O87" si="16">$O$63*B68</f>
        <v>0</v>
      </c>
      <c r="P68" s="87">
        <f t="shared" ref="P68:P87" si="17">$P$63*B68</f>
        <v>0</v>
      </c>
      <c r="Q68" s="87">
        <f t="shared" ref="Q68:Q87" si="18">$Q$63*B68</f>
        <v>0</v>
      </c>
    </row>
    <row r="69" hidden="1" spans="2:17">
      <c r="B69" s="3">
        <v>120</v>
      </c>
      <c r="C69" s="3">
        <v>0</v>
      </c>
      <c r="D69" s="87">
        <f t="shared" si="7"/>
        <v>0</v>
      </c>
      <c r="E69" s="87">
        <f t="shared" si="6"/>
        <v>0</v>
      </c>
      <c r="F69" s="87">
        <f t="shared" si="8"/>
        <v>0</v>
      </c>
      <c r="G69" s="87">
        <f t="shared" si="9"/>
        <v>0</v>
      </c>
      <c r="H69" s="87">
        <f t="shared" ref="H68:H87" si="19">$H$63*B69</f>
        <v>77.1185592796398</v>
      </c>
      <c r="I69" s="87">
        <f t="shared" si="10"/>
        <v>0</v>
      </c>
      <c r="J69" s="87">
        <f t="shared" si="11"/>
        <v>0.0300150075037519</v>
      </c>
      <c r="K69" s="87">
        <f t="shared" si="12"/>
        <v>0</v>
      </c>
      <c r="L69" s="87">
        <f t="shared" si="13"/>
        <v>28.6903451725863</v>
      </c>
      <c r="M69" s="87">
        <f t="shared" si="14"/>
        <v>0.502251125562781</v>
      </c>
      <c r="N69" s="87">
        <f t="shared" si="15"/>
        <v>0.032016008004002</v>
      </c>
      <c r="O69" s="87">
        <f t="shared" si="16"/>
        <v>0.358179089544772</v>
      </c>
      <c r="P69" s="87">
        <f t="shared" si="17"/>
        <v>0</v>
      </c>
      <c r="Q69" s="87">
        <f t="shared" si="18"/>
        <v>13.2686343171586</v>
      </c>
    </row>
    <row r="70" hidden="1" spans="2:17">
      <c r="B70" s="3">
        <v>193</v>
      </c>
      <c r="C70" s="3">
        <v>297</v>
      </c>
      <c r="D70" s="87">
        <f t="shared" si="7"/>
        <v>125.748650951434</v>
      </c>
      <c r="E70" s="87">
        <f t="shared" si="6"/>
        <v>43.8437943765976</v>
      </c>
      <c r="F70" s="87">
        <f t="shared" si="8"/>
        <v>22.962226640159</v>
      </c>
      <c r="G70" s="87">
        <f t="shared" si="9"/>
        <v>104.445328031809</v>
      </c>
      <c r="H70" s="87">
        <f t="shared" si="19"/>
        <v>124.032349508087</v>
      </c>
      <c r="I70" s="87">
        <f t="shared" si="10"/>
        <v>0</v>
      </c>
      <c r="J70" s="87">
        <f t="shared" si="11"/>
        <v>0.0482741370685343</v>
      </c>
      <c r="K70" s="87">
        <f t="shared" si="12"/>
        <v>0</v>
      </c>
      <c r="L70" s="87">
        <f t="shared" si="13"/>
        <v>46.1436384859096</v>
      </c>
      <c r="M70" s="87">
        <f t="shared" si="14"/>
        <v>0.807787226946807</v>
      </c>
      <c r="N70" s="87">
        <f t="shared" si="15"/>
        <v>0.0514924128731032</v>
      </c>
      <c r="O70" s="87">
        <f t="shared" si="16"/>
        <v>0.576071369017842</v>
      </c>
      <c r="P70" s="87">
        <f t="shared" si="17"/>
        <v>0</v>
      </c>
      <c r="Q70" s="87">
        <f t="shared" si="18"/>
        <v>21.3403868600967</v>
      </c>
    </row>
    <row r="71" hidden="1" spans="2:17">
      <c r="B71" s="3">
        <v>9851</v>
      </c>
      <c r="C71" s="3">
        <v>11829</v>
      </c>
      <c r="D71" s="87">
        <f t="shared" si="7"/>
        <v>5008.35283536874</v>
      </c>
      <c r="E71" s="87">
        <f t="shared" si="6"/>
        <v>1746.2230426962</v>
      </c>
      <c r="F71" s="87">
        <f t="shared" si="8"/>
        <v>914.546056991385</v>
      </c>
      <c r="G71" s="87">
        <f t="shared" si="9"/>
        <v>4159.87806494367</v>
      </c>
      <c r="H71" s="87">
        <f t="shared" si="19"/>
        <v>6330.79106219777</v>
      </c>
      <c r="I71" s="87">
        <f t="shared" si="10"/>
        <v>0</v>
      </c>
      <c r="J71" s="87">
        <f t="shared" si="11"/>
        <v>2.4639819909955</v>
      </c>
      <c r="K71" s="87">
        <f t="shared" si="12"/>
        <v>0</v>
      </c>
      <c r="L71" s="87">
        <f t="shared" si="13"/>
        <v>2355.23825245956</v>
      </c>
      <c r="M71" s="87">
        <f t="shared" si="14"/>
        <v>41.230631982658</v>
      </c>
      <c r="N71" s="87">
        <f t="shared" si="15"/>
        <v>2.62824745706186</v>
      </c>
      <c r="O71" s="87">
        <f t="shared" si="16"/>
        <v>29.4035184258796</v>
      </c>
      <c r="P71" s="87">
        <f t="shared" si="17"/>
        <v>0</v>
      </c>
      <c r="Q71" s="87">
        <f t="shared" si="18"/>
        <v>1089.24430548608</v>
      </c>
    </row>
    <row r="72" hidden="1" spans="2:17">
      <c r="B72" s="3">
        <v>321</v>
      </c>
      <c r="C72" s="3">
        <v>94</v>
      </c>
      <c r="D72" s="87">
        <f t="shared" si="7"/>
        <v>39.7992363280634</v>
      </c>
      <c r="E72" s="87">
        <f t="shared" si="6"/>
        <v>13.8764871090915</v>
      </c>
      <c r="F72" s="87">
        <f t="shared" si="8"/>
        <v>7.26750607466313</v>
      </c>
      <c r="G72" s="87">
        <f t="shared" si="9"/>
        <v>33.056770488182</v>
      </c>
      <c r="H72" s="87">
        <f t="shared" si="19"/>
        <v>206.292146073037</v>
      </c>
      <c r="I72" s="87">
        <f t="shared" si="10"/>
        <v>0</v>
      </c>
      <c r="J72" s="87">
        <f t="shared" si="11"/>
        <v>0.0802901450725363</v>
      </c>
      <c r="K72" s="87">
        <f t="shared" si="12"/>
        <v>0</v>
      </c>
      <c r="L72" s="87">
        <f t="shared" si="13"/>
        <v>76.7466733366683</v>
      </c>
      <c r="M72" s="87">
        <f t="shared" si="14"/>
        <v>1.34352176088044</v>
      </c>
      <c r="N72" s="87">
        <f t="shared" si="15"/>
        <v>0.0856428214107054</v>
      </c>
      <c r="O72" s="87">
        <f t="shared" si="16"/>
        <v>0.958129064532266</v>
      </c>
      <c r="P72" s="87">
        <f t="shared" si="17"/>
        <v>0</v>
      </c>
      <c r="Q72" s="87">
        <f t="shared" si="18"/>
        <v>35.4935967983992</v>
      </c>
    </row>
    <row r="73" hidden="1" spans="2:17">
      <c r="B73" s="3">
        <v>604</v>
      </c>
      <c r="C73" s="3">
        <v>228</v>
      </c>
      <c r="D73" s="87">
        <f t="shared" si="7"/>
        <v>96.5343179021111</v>
      </c>
      <c r="E73" s="87">
        <f t="shared" si="6"/>
        <v>33.6578623497113</v>
      </c>
      <c r="F73" s="87">
        <f t="shared" si="8"/>
        <v>17.6275679257787</v>
      </c>
      <c r="G73" s="87">
        <f t="shared" si="9"/>
        <v>80.1802518223989</v>
      </c>
      <c r="H73" s="87">
        <f t="shared" si="19"/>
        <v>388.163415040854</v>
      </c>
      <c r="I73" s="87">
        <f t="shared" si="10"/>
        <v>0</v>
      </c>
      <c r="J73" s="87">
        <f t="shared" si="11"/>
        <v>0.151075537768884</v>
      </c>
      <c r="K73" s="87">
        <f t="shared" si="12"/>
        <v>0</v>
      </c>
      <c r="L73" s="87">
        <f t="shared" si="13"/>
        <v>144.408070702018</v>
      </c>
      <c r="M73" s="87">
        <f t="shared" si="14"/>
        <v>2.52799733199933</v>
      </c>
      <c r="N73" s="87">
        <f t="shared" si="15"/>
        <v>0.16114724028681</v>
      </c>
      <c r="O73" s="87">
        <f t="shared" si="16"/>
        <v>1.80283475070869</v>
      </c>
      <c r="P73" s="87">
        <f t="shared" si="17"/>
        <v>0</v>
      </c>
      <c r="Q73" s="87">
        <f t="shared" si="18"/>
        <v>66.7854593963649</v>
      </c>
    </row>
    <row r="74" hidden="1" spans="2:17">
      <c r="B74" s="3">
        <v>3768</v>
      </c>
      <c r="C74" s="3">
        <v>2577</v>
      </c>
      <c r="D74" s="87">
        <f t="shared" si="7"/>
        <v>1091.09182997255</v>
      </c>
      <c r="E74" s="87">
        <f t="shared" si="6"/>
        <v>380.42241787371</v>
      </c>
      <c r="F74" s="87">
        <f t="shared" si="8"/>
        <v>199.237905897946</v>
      </c>
      <c r="G74" s="87">
        <f t="shared" si="9"/>
        <v>906.247846255799</v>
      </c>
      <c r="H74" s="87">
        <f t="shared" si="19"/>
        <v>2421.52276138069</v>
      </c>
      <c r="I74" s="87">
        <f t="shared" si="10"/>
        <v>0</v>
      </c>
      <c r="J74" s="87">
        <f t="shared" si="11"/>
        <v>0.942471235617809</v>
      </c>
      <c r="K74" s="87">
        <f t="shared" si="12"/>
        <v>0</v>
      </c>
      <c r="L74" s="87">
        <f t="shared" si="13"/>
        <v>900.87683841921</v>
      </c>
      <c r="M74" s="87">
        <f t="shared" si="14"/>
        <v>15.7706853426713</v>
      </c>
      <c r="N74" s="87">
        <f t="shared" si="15"/>
        <v>1.00530265132566</v>
      </c>
      <c r="O74" s="87">
        <f t="shared" si="16"/>
        <v>11.2468234117059</v>
      </c>
      <c r="P74" s="87">
        <f t="shared" si="17"/>
        <v>0</v>
      </c>
      <c r="Q74" s="87">
        <f t="shared" si="18"/>
        <v>416.635117558779</v>
      </c>
    </row>
    <row r="75" hidden="1" spans="2:17">
      <c r="B75" s="3">
        <v>9443</v>
      </c>
      <c r="C75" s="3">
        <v>1181</v>
      </c>
      <c r="D75" s="87">
        <f t="shared" si="7"/>
        <v>500.03083088769</v>
      </c>
      <c r="E75" s="87">
        <f t="shared" si="6"/>
        <v>174.341822083373</v>
      </c>
      <c r="F75" s="87">
        <f t="shared" si="8"/>
        <v>91.307709299757</v>
      </c>
      <c r="G75" s="87">
        <f t="shared" si="9"/>
        <v>415.31963772918</v>
      </c>
      <c r="H75" s="87">
        <f t="shared" si="19"/>
        <v>6068.58796064699</v>
      </c>
      <c r="I75" s="87">
        <f t="shared" si="10"/>
        <v>0</v>
      </c>
      <c r="J75" s="87">
        <f t="shared" si="11"/>
        <v>2.36193096548274</v>
      </c>
      <c r="K75" s="87">
        <f t="shared" si="12"/>
        <v>0</v>
      </c>
      <c r="L75" s="87">
        <f t="shared" si="13"/>
        <v>2257.69107887277</v>
      </c>
      <c r="M75" s="87">
        <f t="shared" si="14"/>
        <v>39.5229781557445</v>
      </c>
      <c r="N75" s="87">
        <f t="shared" si="15"/>
        <v>2.51939302984826</v>
      </c>
      <c r="O75" s="87">
        <f t="shared" si="16"/>
        <v>28.1857095214274</v>
      </c>
      <c r="P75" s="87">
        <f t="shared" si="17"/>
        <v>0</v>
      </c>
      <c r="Q75" s="87">
        <f t="shared" si="18"/>
        <v>1044.13094880774</v>
      </c>
    </row>
    <row r="76" hidden="1" spans="2:17">
      <c r="B76" s="3">
        <v>361</v>
      </c>
      <c r="D76" s="87">
        <f t="shared" si="7"/>
        <v>0</v>
      </c>
      <c r="E76" s="87">
        <f t="shared" si="6"/>
        <v>0</v>
      </c>
      <c r="F76" s="87">
        <f t="shared" si="8"/>
        <v>0</v>
      </c>
      <c r="G76" s="87">
        <f t="shared" si="9"/>
        <v>0</v>
      </c>
      <c r="H76" s="87">
        <f t="shared" si="19"/>
        <v>231.998332499583</v>
      </c>
      <c r="I76" s="87">
        <f t="shared" si="10"/>
        <v>0</v>
      </c>
      <c r="J76" s="87">
        <f t="shared" si="11"/>
        <v>0.0902951475737869</v>
      </c>
      <c r="K76" s="87">
        <f t="shared" si="12"/>
        <v>0</v>
      </c>
      <c r="L76" s="87">
        <f t="shared" si="13"/>
        <v>86.3101217275304</v>
      </c>
      <c r="M76" s="87">
        <f t="shared" si="14"/>
        <v>1.5109388027347</v>
      </c>
      <c r="N76" s="87">
        <f t="shared" si="15"/>
        <v>0.096314824078706</v>
      </c>
      <c r="O76" s="87">
        <f t="shared" si="16"/>
        <v>1.07752209438052</v>
      </c>
      <c r="P76" s="87">
        <f t="shared" si="17"/>
        <v>0</v>
      </c>
      <c r="Q76" s="87">
        <f t="shared" si="18"/>
        <v>39.9164749041187</v>
      </c>
    </row>
    <row r="77" hidden="1" spans="2:17">
      <c r="B77" s="3">
        <v>8022</v>
      </c>
      <c r="C77" s="3">
        <v>5552</v>
      </c>
      <c r="D77" s="87">
        <f t="shared" si="7"/>
        <v>2350.69532014264</v>
      </c>
      <c r="E77" s="87">
        <f t="shared" si="6"/>
        <v>819.598472656127</v>
      </c>
      <c r="F77" s="87">
        <f t="shared" si="8"/>
        <v>429.246741771593</v>
      </c>
      <c r="G77" s="87">
        <f t="shared" si="9"/>
        <v>1952.45946542964</v>
      </c>
      <c r="H77" s="87">
        <f t="shared" si="19"/>
        <v>5155.37568784392</v>
      </c>
      <c r="I77" s="87">
        <f t="shared" si="10"/>
        <v>0</v>
      </c>
      <c r="J77" s="87">
        <f t="shared" si="11"/>
        <v>2.00650325162581</v>
      </c>
      <c r="K77" s="87">
        <f t="shared" si="12"/>
        <v>0</v>
      </c>
      <c r="L77" s="87">
        <f t="shared" si="13"/>
        <v>1917.94957478739</v>
      </c>
      <c r="M77" s="87">
        <f t="shared" si="14"/>
        <v>33.5754877438719</v>
      </c>
      <c r="N77" s="87">
        <f t="shared" si="15"/>
        <v>2.14027013506753</v>
      </c>
      <c r="O77" s="87">
        <f t="shared" si="16"/>
        <v>23.944272136068</v>
      </c>
      <c r="P77" s="87">
        <f t="shared" si="17"/>
        <v>0</v>
      </c>
      <c r="Q77" s="87">
        <f t="shared" si="18"/>
        <v>887.008204102051</v>
      </c>
    </row>
    <row r="78" hidden="1" spans="2:17">
      <c r="B78" s="3">
        <v>4653</v>
      </c>
      <c r="C78" s="3">
        <v>200</v>
      </c>
      <c r="D78" s="87">
        <f t="shared" si="7"/>
        <v>84.6792262299221</v>
      </c>
      <c r="E78" s="87">
        <f t="shared" si="6"/>
        <v>29.5244406576415</v>
      </c>
      <c r="F78" s="87">
        <f t="shared" si="8"/>
        <v>15.462778882262</v>
      </c>
      <c r="G78" s="87">
        <f t="shared" si="9"/>
        <v>70.3335542301745</v>
      </c>
      <c r="H78" s="87">
        <f t="shared" si="19"/>
        <v>2990.27213606803</v>
      </c>
      <c r="I78" s="87">
        <f t="shared" si="10"/>
        <v>0</v>
      </c>
      <c r="J78" s="87">
        <f t="shared" si="11"/>
        <v>1.16383191595798</v>
      </c>
      <c r="K78" s="87">
        <f t="shared" si="12"/>
        <v>0</v>
      </c>
      <c r="L78" s="87">
        <f t="shared" si="13"/>
        <v>1112.46813406703</v>
      </c>
      <c r="M78" s="87">
        <f t="shared" si="14"/>
        <v>19.4747873936968</v>
      </c>
      <c r="N78" s="87">
        <f t="shared" si="15"/>
        <v>1.24142071035518</v>
      </c>
      <c r="O78" s="87">
        <f t="shared" si="16"/>
        <v>13.8883941970985</v>
      </c>
      <c r="P78" s="87">
        <f t="shared" si="17"/>
        <v>0</v>
      </c>
      <c r="Q78" s="87">
        <f t="shared" si="18"/>
        <v>514.491295647824</v>
      </c>
    </row>
    <row r="79" hidden="1" spans="2:17">
      <c r="B79" s="3">
        <v>1654</v>
      </c>
      <c r="D79" s="87">
        <f t="shared" si="7"/>
        <v>0</v>
      </c>
      <c r="E79" s="87">
        <f t="shared" si="6"/>
        <v>0</v>
      </c>
      <c r="F79" s="87">
        <f t="shared" si="8"/>
        <v>0</v>
      </c>
      <c r="G79" s="87">
        <f t="shared" si="9"/>
        <v>0</v>
      </c>
      <c r="H79" s="87">
        <f t="shared" si="19"/>
        <v>1062.9508087377</v>
      </c>
      <c r="I79" s="87">
        <f t="shared" si="10"/>
        <v>0</v>
      </c>
      <c r="J79" s="87">
        <f t="shared" si="11"/>
        <v>0.413706853426713</v>
      </c>
      <c r="K79" s="87">
        <f t="shared" si="12"/>
        <v>0</v>
      </c>
      <c r="L79" s="87">
        <f t="shared" si="13"/>
        <v>395.448590962148</v>
      </c>
      <c r="M79" s="87">
        <f t="shared" si="14"/>
        <v>6.92269468067367</v>
      </c>
      <c r="N79" s="87">
        <f t="shared" si="15"/>
        <v>0.441287310321828</v>
      </c>
      <c r="O79" s="87">
        <f t="shared" si="16"/>
        <v>4.93690178422545</v>
      </c>
      <c r="P79" s="87">
        <f t="shared" si="17"/>
        <v>0</v>
      </c>
      <c r="Q79" s="87">
        <f t="shared" si="18"/>
        <v>182.886009671502</v>
      </c>
    </row>
    <row r="80" hidden="1" spans="2:17">
      <c r="B80" s="3">
        <v>1156</v>
      </c>
      <c r="C80" s="3">
        <v>165</v>
      </c>
      <c r="D80" s="87">
        <f t="shared" si="7"/>
        <v>69.8603616396857</v>
      </c>
      <c r="E80" s="87">
        <f t="shared" si="6"/>
        <v>24.3576635425542</v>
      </c>
      <c r="F80" s="87">
        <f t="shared" si="8"/>
        <v>12.7567925778661</v>
      </c>
      <c r="G80" s="87">
        <f t="shared" si="9"/>
        <v>58.025182239894</v>
      </c>
      <c r="H80" s="87">
        <f t="shared" si="19"/>
        <v>742.908787727197</v>
      </c>
      <c r="I80" s="87">
        <f t="shared" si="10"/>
        <v>0</v>
      </c>
      <c r="J80" s="87">
        <f t="shared" si="11"/>
        <v>0.289144572286143</v>
      </c>
      <c r="K80" s="87">
        <f t="shared" si="12"/>
        <v>0</v>
      </c>
      <c r="L80" s="87">
        <f t="shared" si="13"/>
        <v>276.383658495915</v>
      </c>
      <c r="M80" s="87">
        <f t="shared" si="14"/>
        <v>4.83835250958813</v>
      </c>
      <c r="N80" s="87">
        <f t="shared" si="15"/>
        <v>0.308420877105219</v>
      </c>
      <c r="O80" s="87">
        <f t="shared" si="16"/>
        <v>3.45045856261464</v>
      </c>
      <c r="P80" s="87">
        <f t="shared" si="17"/>
        <v>0</v>
      </c>
      <c r="Q80" s="87">
        <f t="shared" si="18"/>
        <v>127.821177255294</v>
      </c>
    </row>
    <row r="81" hidden="1" spans="2:17">
      <c r="B81" s="3">
        <v>337</v>
      </c>
      <c r="D81" s="87">
        <f t="shared" si="7"/>
        <v>0</v>
      </c>
      <c r="E81" s="87">
        <f t="shared" si="6"/>
        <v>0</v>
      </c>
      <c r="F81" s="87">
        <f t="shared" si="8"/>
        <v>0</v>
      </c>
      <c r="G81" s="87">
        <f t="shared" si="9"/>
        <v>0</v>
      </c>
      <c r="H81" s="87">
        <f t="shared" si="19"/>
        <v>216.574620643655</v>
      </c>
      <c r="I81" s="87">
        <f t="shared" si="10"/>
        <v>0</v>
      </c>
      <c r="J81" s="87">
        <f t="shared" si="11"/>
        <v>0.0842921460730365</v>
      </c>
      <c r="K81" s="87">
        <f t="shared" si="12"/>
        <v>0</v>
      </c>
      <c r="L81" s="87">
        <f t="shared" si="13"/>
        <v>80.5720526930132</v>
      </c>
      <c r="M81" s="87">
        <f t="shared" si="14"/>
        <v>1.41048857762214</v>
      </c>
      <c r="N81" s="87">
        <f t="shared" si="15"/>
        <v>0.0899116224779056</v>
      </c>
      <c r="O81" s="87">
        <f t="shared" si="16"/>
        <v>1.00588627647157</v>
      </c>
      <c r="P81" s="87">
        <f t="shared" si="17"/>
        <v>0</v>
      </c>
      <c r="Q81" s="87">
        <f t="shared" si="18"/>
        <v>37.262748040687</v>
      </c>
    </row>
    <row r="82" hidden="1" spans="2:17">
      <c r="B82" s="3">
        <v>0</v>
      </c>
      <c r="C82" s="3">
        <v>0</v>
      </c>
      <c r="D82" s="87">
        <f t="shared" si="7"/>
        <v>0</v>
      </c>
      <c r="E82" s="87">
        <f t="shared" si="6"/>
        <v>0</v>
      </c>
      <c r="F82" s="87">
        <f t="shared" si="8"/>
        <v>0</v>
      </c>
      <c r="G82" s="87">
        <f t="shared" si="9"/>
        <v>0</v>
      </c>
      <c r="H82" s="87">
        <f t="shared" si="19"/>
        <v>0</v>
      </c>
      <c r="I82" s="87">
        <f t="shared" si="10"/>
        <v>0</v>
      </c>
      <c r="J82" s="87">
        <f t="shared" si="11"/>
        <v>0</v>
      </c>
      <c r="K82" s="87">
        <f t="shared" si="12"/>
        <v>0</v>
      </c>
      <c r="L82" s="87">
        <f t="shared" si="13"/>
        <v>0</v>
      </c>
      <c r="M82" s="87">
        <f t="shared" si="14"/>
        <v>0</v>
      </c>
      <c r="N82" s="87">
        <f t="shared" si="15"/>
        <v>0</v>
      </c>
      <c r="O82" s="87">
        <f t="shared" si="16"/>
        <v>0</v>
      </c>
      <c r="P82" s="87">
        <f t="shared" si="17"/>
        <v>0</v>
      </c>
      <c r="Q82" s="87">
        <f t="shared" si="18"/>
        <v>0</v>
      </c>
    </row>
    <row r="83" hidden="1" spans="2:17">
      <c r="B83" s="3">
        <v>0</v>
      </c>
      <c r="C83" s="3">
        <v>0</v>
      </c>
      <c r="D83" s="87">
        <f t="shared" si="7"/>
        <v>0</v>
      </c>
      <c r="E83" s="87">
        <f t="shared" si="6"/>
        <v>0</v>
      </c>
      <c r="F83" s="87">
        <f t="shared" si="8"/>
        <v>0</v>
      </c>
      <c r="G83" s="87">
        <f t="shared" si="9"/>
        <v>0</v>
      </c>
      <c r="H83" s="87">
        <f t="shared" si="19"/>
        <v>0</v>
      </c>
      <c r="I83" s="87">
        <f t="shared" si="10"/>
        <v>0</v>
      </c>
      <c r="J83" s="87">
        <f t="shared" si="11"/>
        <v>0</v>
      </c>
      <c r="K83" s="87">
        <f t="shared" si="12"/>
        <v>0</v>
      </c>
      <c r="L83" s="87">
        <f t="shared" si="13"/>
        <v>0</v>
      </c>
      <c r="M83" s="87">
        <f t="shared" si="14"/>
        <v>0</v>
      </c>
      <c r="N83" s="87">
        <f t="shared" si="15"/>
        <v>0</v>
      </c>
      <c r="O83" s="87">
        <f t="shared" si="16"/>
        <v>0</v>
      </c>
      <c r="P83" s="87">
        <f t="shared" si="17"/>
        <v>0</v>
      </c>
      <c r="Q83" s="87">
        <f t="shared" si="18"/>
        <v>0</v>
      </c>
    </row>
    <row r="84" hidden="1" spans="2:17">
      <c r="B84" s="3">
        <v>123</v>
      </c>
      <c r="D84" s="87">
        <f t="shared" si="7"/>
        <v>0</v>
      </c>
      <c r="E84" s="87">
        <f t="shared" si="6"/>
        <v>0</v>
      </c>
      <c r="F84" s="87">
        <f t="shared" si="8"/>
        <v>0</v>
      </c>
      <c r="G84" s="87">
        <f t="shared" si="9"/>
        <v>0</v>
      </c>
      <c r="H84" s="87">
        <f t="shared" si="19"/>
        <v>79.0465232616308</v>
      </c>
      <c r="I84" s="87">
        <f t="shared" si="10"/>
        <v>0</v>
      </c>
      <c r="J84" s="87">
        <f t="shared" si="11"/>
        <v>0.0307653826913457</v>
      </c>
      <c r="K84" s="87">
        <f t="shared" si="12"/>
        <v>0</v>
      </c>
      <c r="L84" s="87">
        <f t="shared" si="13"/>
        <v>29.407603801901</v>
      </c>
      <c r="M84" s="87">
        <f t="shared" si="14"/>
        <v>0.514807403701851</v>
      </c>
      <c r="N84" s="87">
        <f t="shared" si="15"/>
        <v>0.0328164082041021</v>
      </c>
      <c r="O84" s="87">
        <f t="shared" si="16"/>
        <v>0.367133566783392</v>
      </c>
      <c r="P84" s="87">
        <f t="shared" si="17"/>
        <v>0</v>
      </c>
      <c r="Q84" s="87">
        <f t="shared" si="18"/>
        <v>13.6003501750875</v>
      </c>
    </row>
    <row r="85" hidden="1" spans="2:17">
      <c r="B85" s="3">
        <v>3163</v>
      </c>
      <c r="C85" s="3">
        <v>1234</v>
      </c>
      <c r="D85" s="87">
        <f t="shared" si="7"/>
        <v>522.470825838619</v>
      </c>
      <c r="E85" s="87">
        <f t="shared" si="6"/>
        <v>182.165798857648</v>
      </c>
      <c r="F85" s="87">
        <f t="shared" si="8"/>
        <v>95.4053457035564</v>
      </c>
      <c r="G85" s="87">
        <f t="shared" si="9"/>
        <v>433.958029600177</v>
      </c>
      <c r="H85" s="87">
        <f t="shared" si="19"/>
        <v>2032.71669167917</v>
      </c>
      <c r="I85" s="87">
        <f t="shared" si="10"/>
        <v>0</v>
      </c>
      <c r="J85" s="87">
        <f t="shared" si="11"/>
        <v>0.791145572786393</v>
      </c>
      <c r="K85" s="87">
        <f t="shared" si="12"/>
        <v>0</v>
      </c>
      <c r="L85" s="87">
        <f t="shared" si="13"/>
        <v>756.22968150742</v>
      </c>
      <c r="M85" s="87">
        <f t="shared" si="14"/>
        <v>13.2385025846256</v>
      </c>
      <c r="N85" s="87">
        <f t="shared" si="15"/>
        <v>0.843888610972153</v>
      </c>
      <c r="O85" s="87">
        <f t="shared" si="16"/>
        <v>9.44100383525096</v>
      </c>
      <c r="P85" s="87">
        <f t="shared" si="17"/>
        <v>0</v>
      </c>
      <c r="Q85" s="87">
        <f t="shared" si="18"/>
        <v>349.739086209772</v>
      </c>
    </row>
    <row r="86" hidden="1" spans="2:17">
      <c r="B86" s="3">
        <v>0</v>
      </c>
      <c r="C86" s="3">
        <v>0</v>
      </c>
      <c r="D86" s="87">
        <f t="shared" si="7"/>
        <v>0</v>
      </c>
      <c r="E86" s="87">
        <f t="shared" si="6"/>
        <v>0</v>
      </c>
      <c r="F86" s="87">
        <f t="shared" si="8"/>
        <v>0</v>
      </c>
      <c r="G86" s="87">
        <f t="shared" si="9"/>
        <v>0</v>
      </c>
      <c r="H86" s="87">
        <f t="shared" si="19"/>
        <v>0</v>
      </c>
      <c r="I86" s="87">
        <f t="shared" si="10"/>
        <v>0</v>
      </c>
      <c r="J86" s="87">
        <f t="shared" si="11"/>
        <v>0</v>
      </c>
      <c r="K86" s="87">
        <f t="shared" si="12"/>
        <v>0</v>
      </c>
      <c r="L86" s="87">
        <f t="shared" si="13"/>
        <v>0</v>
      </c>
      <c r="M86" s="87">
        <f t="shared" si="14"/>
        <v>0</v>
      </c>
      <c r="N86" s="87">
        <f t="shared" si="15"/>
        <v>0</v>
      </c>
      <c r="O86" s="87">
        <f t="shared" si="16"/>
        <v>0</v>
      </c>
      <c r="P86" s="87">
        <f t="shared" si="17"/>
        <v>0</v>
      </c>
      <c r="Q86" s="87">
        <f t="shared" si="18"/>
        <v>0</v>
      </c>
    </row>
    <row r="87" hidden="1" spans="2:17">
      <c r="B87" s="3">
        <v>1849</v>
      </c>
      <c r="C87" s="3">
        <v>271</v>
      </c>
      <c r="D87" s="87">
        <f t="shared" si="7"/>
        <v>114.740351541544</v>
      </c>
      <c r="E87" s="87">
        <f t="shared" si="6"/>
        <v>40.0056170911042</v>
      </c>
      <c r="F87" s="87">
        <f t="shared" si="8"/>
        <v>20.952065385465</v>
      </c>
      <c r="G87" s="87">
        <f t="shared" si="9"/>
        <v>95.3019659818865</v>
      </c>
      <c r="H87" s="87">
        <f t="shared" si="19"/>
        <v>1188.26846756712</v>
      </c>
      <c r="I87" s="87">
        <f t="shared" si="10"/>
        <v>0</v>
      </c>
      <c r="J87" s="87">
        <f t="shared" si="11"/>
        <v>0.46248124062031</v>
      </c>
      <c r="K87" s="87">
        <f t="shared" si="12"/>
        <v>0</v>
      </c>
      <c r="L87" s="87">
        <f t="shared" si="13"/>
        <v>442.0704018676</v>
      </c>
      <c r="M87" s="87">
        <f t="shared" si="14"/>
        <v>7.73885275971319</v>
      </c>
      <c r="N87" s="87">
        <f t="shared" si="15"/>
        <v>0.493313323328331</v>
      </c>
      <c r="O87" s="87">
        <f t="shared" si="16"/>
        <v>5.5189428047357</v>
      </c>
      <c r="P87" s="87">
        <f t="shared" si="17"/>
        <v>0</v>
      </c>
      <c r="Q87" s="87">
        <f t="shared" si="18"/>
        <v>204.447540436885</v>
      </c>
    </row>
  </sheetData>
  <sheetProtection autoFilter="0"/>
  <mergeCells count="25">
    <mergeCell ref="A2:AL2"/>
    <mergeCell ref="A4:B4"/>
    <mergeCell ref="D4:G4"/>
    <mergeCell ref="H4:Q4"/>
    <mergeCell ref="R4:W4"/>
    <mergeCell ref="Y4:Z4"/>
    <mergeCell ref="AD4:AF4"/>
    <mergeCell ref="D5:G5"/>
    <mergeCell ref="H5:Q5"/>
    <mergeCell ref="R5:W5"/>
    <mergeCell ref="Y5:Z5"/>
    <mergeCell ref="AD5:AF5"/>
    <mergeCell ref="A35:B35"/>
    <mergeCell ref="A5:A6"/>
    <mergeCell ref="B5:B6"/>
    <mergeCell ref="C4:C6"/>
    <mergeCell ref="X5:X6"/>
    <mergeCell ref="AB5:AB6"/>
    <mergeCell ref="AC5:AC6"/>
    <mergeCell ref="AG5:AG6"/>
    <mergeCell ref="AH5:AH6"/>
    <mergeCell ref="AI5:AI6"/>
    <mergeCell ref="AJ5:AJ6"/>
    <mergeCell ref="AK5:AK6"/>
    <mergeCell ref="AL5:AL6"/>
  </mergeCells>
  <printOptions horizontalCentered="1"/>
  <pageMargins left="0.47244094488189" right="0.47244094488189" top="0.433070866141732" bottom="0.15748031496063" header="0.118110236220472" footer="0.118110236220472"/>
  <pageSetup paperSize="9" scale="37" fitToHeight="0" orientation="landscape" blackAndWhite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93"/>
  <sheetViews>
    <sheetView showGridLines="0" showZeros="0" zoomScale="70" zoomScaleNormal="70" workbookViewId="0">
      <pane xSplit="4" ySplit="7" topLeftCell="E11" activePane="bottomRight" state="frozen"/>
      <selection/>
      <selection pane="topRight"/>
      <selection pane="bottomLeft"/>
      <selection pane="bottomRight" activeCell="H81" sqref="H81"/>
    </sheetView>
  </sheetViews>
  <sheetFormatPr defaultColWidth="8.775" defaultRowHeight="13.5"/>
  <cols>
    <col min="1" max="1" width="4.66666666666667" style="3" customWidth="1"/>
    <col min="2" max="2" width="23.2166666666667" style="3" customWidth="1"/>
    <col min="3" max="3" width="11.775" style="3" customWidth="1"/>
    <col min="4" max="17" width="9.44166666666667" style="3" customWidth="1"/>
    <col min="18" max="23" width="8.44166666666667" style="3" customWidth="1"/>
    <col min="24" max="24" width="9.44166666666667" style="3" customWidth="1"/>
    <col min="25" max="26" width="10.4416666666667" style="3" customWidth="1"/>
    <col min="27" max="29" width="9.44166666666667" style="3" customWidth="1"/>
    <col min="30" max="32" width="10.4416666666667" style="3" customWidth="1"/>
    <col min="33" max="33" width="9.44166666666667" style="3" customWidth="1"/>
    <col min="34" max="34" width="13.1083333333333" style="3" customWidth="1"/>
    <col min="35" max="36" width="9.44166666666667" style="3" customWidth="1"/>
    <col min="37" max="37" width="9.21666666666667" style="3" customWidth="1"/>
    <col min="38" max="38" width="9.55833333333333" style="3" customWidth="1"/>
    <col min="39" max="16384" width="8.775" style="3"/>
  </cols>
  <sheetData>
    <row r="1" spans="1:38">
      <c r="A1" s="4"/>
    </row>
    <row r="2" s="1" customFormat="1" ht="24" spans="1:38">
      <c r="A2" s="5" t="s">
        <v>106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ht="20.25" customHeight="1" spans="1:38">
      <c r="AL3" s="6" t="s">
        <v>1</v>
      </c>
    </row>
    <row r="4" s="2" customFormat="1" ht="23.1" customHeight="1" spans="1:38">
      <c r="A4" s="7" t="s">
        <v>2</v>
      </c>
      <c r="B4" s="8"/>
      <c r="C4" s="9" t="s">
        <v>3</v>
      </c>
      <c r="D4" s="10">
        <v>501</v>
      </c>
      <c r="E4" s="11"/>
      <c r="F4" s="11"/>
      <c r="G4" s="12"/>
      <c r="H4" s="10">
        <v>502</v>
      </c>
      <c r="I4" s="11"/>
      <c r="J4" s="11"/>
      <c r="K4" s="11"/>
      <c r="L4" s="11"/>
      <c r="M4" s="11"/>
      <c r="N4" s="11"/>
      <c r="O4" s="11"/>
      <c r="P4" s="11"/>
      <c r="Q4" s="12"/>
      <c r="R4" s="10">
        <v>503</v>
      </c>
      <c r="S4" s="11"/>
      <c r="T4" s="11"/>
      <c r="U4" s="11"/>
      <c r="V4" s="11"/>
      <c r="W4" s="11"/>
      <c r="X4" s="13">
        <v>504</v>
      </c>
      <c r="Y4" s="10">
        <v>505</v>
      </c>
      <c r="Z4" s="12"/>
      <c r="AA4" s="13">
        <v>506</v>
      </c>
      <c r="AB4" s="13">
        <v>507</v>
      </c>
      <c r="AC4" s="13">
        <v>508</v>
      </c>
      <c r="AD4" s="10">
        <v>509</v>
      </c>
      <c r="AE4" s="11"/>
      <c r="AF4" s="12"/>
      <c r="AG4" s="13">
        <v>510</v>
      </c>
      <c r="AH4" s="13">
        <v>511</v>
      </c>
      <c r="AI4" s="13">
        <v>512</v>
      </c>
      <c r="AJ4" s="13">
        <v>513</v>
      </c>
      <c r="AK4" s="13">
        <v>514</v>
      </c>
      <c r="AL4" s="13">
        <v>599</v>
      </c>
    </row>
    <row r="5" s="2" customFormat="1" ht="69" customHeight="1" spans="1:38">
      <c r="A5" s="9" t="s">
        <v>74</v>
      </c>
      <c r="B5" s="9" t="s">
        <v>75</v>
      </c>
      <c r="C5" s="14"/>
      <c r="D5" s="15" t="s">
        <v>6</v>
      </c>
      <c r="E5" s="16"/>
      <c r="F5" s="16"/>
      <c r="G5" s="17"/>
      <c r="H5" s="15" t="s">
        <v>7</v>
      </c>
      <c r="I5" s="16"/>
      <c r="J5" s="16"/>
      <c r="K5" s="16"/>
      <c r="L5" s="16"/>
      <c r="M5" s="16"/>
      <c r="N5" s="16"/>
      <c r="O5" s="16"/>
      <c r="P5" s="16"/>
      <c r="Q5" s="17"/>
      <c r="R5" s="18" t="s">
        <v>76</v>
      </c>
      <c r="S5" s="11"/>
      <c r="T5" s="11"/>
      <c r="U5" s="11"/>
      <c r="V5" s="11"/>
      <c r="W5" s="11"/>
      <c r="X5" s="19" t="s">
        <v>77</v>
      </c>
      <c r="Y5" s="18" t="s">
        <v>10</v>
      </c>
      <c r="Z5" s="12"/>
      <c r="AA5" s="20" t="s">
        <v>11</v>
      </c>
      <c r="AB5" s="19" t="s">
        <v>12</v>
      </c>
      <c r="AC5" s="19" t="s">
        <v>13</v>
      </c>
      <c r="AD5" s="15" t="s">
        <v>14</v>
      </c>
      <c r="AE5" s="16"/>
      <c r="AF5" s="17"/>
      <c r="AG5" s="19" t="s">
        <v>15</v>
      </c>
      <c r="AH5" s="20" t="s">
        <v>16</v>
      </c>
      <c r="AI5" s="20" t="s">
        <v>17</v>
      </c>
      <c r="AJ5" s="20" t="s">
        <v>18</v>
      </c>
      <c r="AK5" s="20" t="s">
        <v>19</v>
      </c>
      <c r="AL5" s="20" t="s">
        <v>20</v>
      </c>
    </row>
    <row r="6" s="2" customFormat="1" ht="69" customHeight="1" spans="1:38">
      <c r="A6" s="21"/>
      <c r="B6" s="21"/>
      <c r="C6" s="21"/>
      <c r="D6" s="22" t="s">
        <v>78</v>
      </c>
      <c r="E6" s="23" t="s">
        <v>107</v>
      </c>
      <c r="F6" s="23" t="s">
        <v>108</v>
      </c>
      <c r="G6" s="23" t="s">
        <v>109</v>
      </c>
      <c r="H6" s="23" t="s">
        <v>110</v>
      </c>
      <c r="I6" s="23" t="s">
        <v>111</v>
      </c>
      <c r="J6" s="23" t="s">
        <v>112</v>
      </c>
      <c r="K6" s="23" t="s">
        <v>113</v>
      </c>
      <c r="L6" s="23" t="s">
        <v>114</v>
      </c>
      <c r="M6" s="23" t="s">
        <v>115</v>
      </c>
      <c r="N6" s="23" t="s">
        <v>116</v>
      </c>
      <c r="O6" s="23" t="s">
        <v>117</v>
      </c>
      <c r="P6" s="23" t="s">
        <v>118</v>
      </c>
      <c r="Q6" s="23" t="s">
        <v>119</v>
      </c>
      <c r="R6" s="23" t="s">
        <v>120</v>
      </c>
      <c r="S6" s="23" t="s">
        <v>121</v>
      </c>
      <c r="T6" s="23" t="s">
        <v>122</v>
      </c>
      <c r="U6" s="23" t="s">
        <v>123</v>
      </c>
      <c r="V6" s="23" t="s">
        <v>124</v>
      </c>
      <c r="W6" s="23" t="s">
        <v>125</v>
      </c>
      <c r="X6" s="24"/>
      <c r="Y6" s="23" t="s">
        <v>126</v>
      </c>
      <c r="Z6" s="23" t="s">
        <v>127</v>
      </c>
      <c r="AA6" s="22" t="s">
        <v>100</v>
      </c>
      <c r="AB6" s="24"/>
      <c r="AC6" s="24"/>
      <c r="AD6" s="23" t="s">
        <v>128</v>
      </c>
      <c r="AE6" s="23" t="s">
        <v>129</v>
      </c>
      <c r="AF6" s="23" t="s">
        <v>130</v>
      </c>
      <c r="AG6" s="24"/>
      <c r="AH6" s="23"/>
      <c r="AI6" s="23"/>
      <c r="AJ6" s="23"/>
      <c r="AK6" s="23"/>
      <c r="AL6" s="23"/>
    </row>
    <row r="7" ht="20.1" customHeight="1" spans="1:38">
      <c r="A7" s="25" t="s">
        <v>21</v>
      </c>
      <c r="B7" s="26" t="s">
        <v>22</v>
      </c>
      <c r="C7" s="27">
        <f t="shared" ref="C7:C28" si="0">SUM(D7:AK7)</f>
        <v>27496</v>
      </c>
      <c r="D7" s="28">
        <f>5260-E7-F7-G7</f>
        <v>2227</v>
      </c>
      <c r="E7" s="41">
        <v>777</v>
      </c>
      <c r="F7" s="41">
        <v>407</v>
      </c>
      <c r="G7" s="41">
        <v>1849</v>
      </c>
      <c r="H7" s="28">
        <f>11521-SUM(I7:Q7)</f>
        <v>7254</v>
      </c>
      <c r="I7" s="28"/>
      <c r="J7" s="28">
        <v>15</v>
      </c>
      <c r="K7" s="28"/>
      <c r="L7" s="28">
        <v>2625</v>
      </c>
      <c r="M7" s="28">
        <v>251</v>
      </c>
      <c r="N7" s="28">
        <v>16</v>
      </c>
      <c r="O7" s="28">
        <v>179</v>
      </c>
      <c r="P7" s="28"/>
      <c r="Q7" s="28">
        <v>1181</v>
      </c>
      <c r="R7" s="28"/>
      <c r="S7" s="28"/>
      <c r="T7" s="28">
        <v>50</v>
      </c>
      <c r="U7" s="28"/>
      <c r="V7" s="28"/>
      <c r="W7" s="28">
        <v>759</v>
      </c>
      <c r="X7" s="42">
        <v>1453</v>
      </c>
      <c r="Y7" s="28"/>
      <c r="Z7" s="42">
        <v>2872</v>
      </c>
      <c r="AA7" s="42">
        <v>131</v>
      </c>
      <c r="AB7" s="42">
        <v>696</v>
      </c>
      <c r="AC7" s="42">
        <v>320</v>
      </c>
      <c r="AD7" s="42">
        <f>2000-74</f>
        <v>1926</v>
      </c>
      <c r="AE7" s="28">
        <v>74</v>
      </c>
      <c r="AF7" s="42">
        <v>1716</v>
      </c>
      <c r="AG7" s="42">
        <v>718</v>
      </c>
      <c r="AH7" s="29"/>
      <c r="AI7" s="29"/>
      <c r="AJ7" s="29"/>
      <c r="AK7" s="29"/>
      <c r="AL7" s="27">
        <f t="shared" ref="AL7:AL27" si="1">C7-SUM(D7:AK7)</f>
        <v>0</v>
      </c>
    </row>
    <row r="8" ht="20.1" customHeight="1" spans="1:38">
      <c r="A8" s="25" t="s">
        <v>23</v>
      </c>
      <c r="B8" s="26" t="s">
        <v>24</v>
      </c>
      <c r="C8" s="27">
        <f t="shared" si="0"/>
        <v>0</v>
      </c>
      <c r="D8" s="28">
        <v>0</v>
      </c>
      <c r="E8" s="41">
        <v>0</v>
      </c>
      <c r="F8" s="41">
        <v>0</v>
      </c>
      <c r="G8" s="41">
        <v>0</v>
      </c>
      <c r="H8" s="28">
        <v>0</v>
      </c>
      <c r="I8" s="28"/>
      <c r="J8" s="28"/>
      <c r="K8" s="28"/>
      <c r="L8" s="28">
        <v>0</v>
      </c>
      <c r="M8" s="28"/>
      <c r="N8" s="28"/>
      <c r="O8" s="28"/>
      <c r="P8" s="28"/>
      <c r="Q8" s="28">
        <v>0</v>
      </c>
      <c r="R8" s="28"/>
      <c r="S8" s="28"/>
      <c r="T8" s="28"/>
      <c r="U8" s="28"/>
      <c r="V8" s="28"/>
      <c r="W8" s="28">
        <v>0</v>
      </c>
      <c r="X8" s="42">
        <v>0</v>
      </c>
      <c r="Y8" s="28"/>
      <c r="Z8" s="42">
        <v>0</v>
      </c>
      <c r="AA8" s="42">
        <v>0</v>
      </c>
      <c r="AB8" s="42">
        <v>0</v>
      </c>
      <c r="AC8" s="42">
        <v>0</v>
      </c>
      <c r="AD8" s="42"/>
      <c r="AE8" s="28"/>
      <c r="AF8" s="42">
        <v>0</v>
      </c>
      <c r="AG8" s="42">
        <v>0</v>
      </c>
      <c r="AH8" s="29"/>
      <c r="AI8" s="29"/>
      <c r="AJ8" s="29"/>
      <c r="AK8" s="29"/>
      <c r="AL8" s="27">
        <f t="shared" si="1"/>
        <v>0</v>
      </c>
    </row>
    <row r="9" ht="20.1" customHeight="1" spans="1:38">
      <c r="A9" s="25" t="s">
        <v>25</v>
      </c>
      <c r="B9" s="26" t="s">
        <v>26</v>
      </c>
      <c r="C9" s="27">
        <f t="shared" si="0"/>
        <v>45</v>
      </c>
      <c r="D9" s="28">
        <v>0</v>
      </c>
      <c r="E9" s="41">
        <v>0</v>
      </c>
      <c r="F9" s="41">
        <v>0</v>
      </c>
      <c r="G9" s="41">
        <v>0</v>
      </c>
      <c r="H9" s="28">
        <f>45-SUM(I9:Q9)</f>
        <v>29</v>
      </c>
      <c r="I9" s="28"/>
      <c r="J9" s="28"/>
      <c r="K9" s="28"/>
      <c r="L9" s="28">
        <v>11</v>
      </c>
      <c r="M9" s="28"/>
      <c r="N9" s="28"/>
      <c r="O9" s="28"/>
      <c r="P9" s="28"/>
      <c r="Q9" s="28">
        <v>5</v>
      </c>
      <c r="R9" s="28"/>
      <c r="S9" s="28"/>
      <c r="T9" s="28"/>
      <c r="U9" s="28"/>
      <c r="V9" s="28"/>
      <c r="W9" s="28">
        <v>0</v>
      </c>
      <c r="X9" s="42">
        <v>0</v>
      </c>
      <c r="Y9" s="28"/>
      <c r="Z9" s="42">
        <v>0</v>
      </c>
      <c r="AA9" s="42">
        <v>0</v>
      </c>
      <c r="AB9" s="42">
        <v>0</v>
      </c>
      <c r="AC9" s="42">
        <v>0</v>
      </c>
      <c r="AD9" s="42"/>
      <c r="AE9" s="28"/>
      <c r="AF9" s="42">
        <v>0</v>
      </c>
      <c r="AG9" s="42">
        <v>0</v>
      </c>
      <c r="AH9" s="29"/>
      <c r="AI9" s="29"/>
      <c r="AJ9" s="29"/>
      <c r="AK9" s="29"/>
      <c r="AL9" s="27">
        <f t="shared" si="1"/>
        <v>0</v>
      </c>
    </row>
    <row r="10" ht="20.1" customHeight="1" spans="1:38">
      <c r="A10" s="25" t="s">
        <v>27</v>
      </c>
      <c r="B10" s="26" t="s">
        <v>28</v>
      </c>
      <c r="C10" s="27">
        <f t="shared" si="0"/>
        <v>410</v>
      </c>
      <c r="D10" s="28">
        <f>202-E10-F10-G10</f>
        <v>85</v>
      </c>
      <c r="E10" s="41">
        <v>30</v>
      </c>
      <c r="F10" s="41">
        <v>16</v>
      </c>
      <c r="G10" s="41">
        <v>71</v>
      </c>
      <c r="H10" s="28">
        <f>199-SUM(I10:Q10)</f>
        <v>127</v>
      </c>
      <c r="I10" s="28"/>
      <c r="J10" s="28"/>
      <c r="K10" s="28"/>
      <c r="L10" s="28">
        <v>50</v>
      </c>
      <c r="M10" s="28"/>
      <c r="N10" s="28"/>
      <c r="O10" s="28"/>
      <c r="P10" s="28"/>
      <c r="Q10" s="28">
        <v>22</v>
      </c>
      <c r="R10" s="28"/>
      <c r="S10" s="28"/>
      <c r="T10" s="28"/>
      <c r="U10" s="28"/>
      <c r="V10" s="28"/>
      <c r="W10" s="28">
        <v>6</v>
      </c>
      <c r="X10" s="42">
        <v>3</v>
      </c>
      <c r="Y10" s="28"/>
      <c r="Z10" s="42">
        <v>0</v>
      </c>
      <c r="AA10" s="42">
        <v>0</v>
      </c>
      <c r="AB10" s="42"/>
      <c r="AC10" s="42"/>
      <c r="AD10" s="42"/>
      <c r="AE10" s="28"/>
      <c r="AF10" s="42"/>
      <c r="AG10" s="42"/>
      <c r="AH10" s="29"/>
      <c r="AI10" s="29"/>
      <c r="AJ10" s="29"/>
      <c r="AK10" s="29"/>
      <c r="AL10" s="27">
        <f t="shared" si="1"/>
        <v>0</v>
      </c>
    </row>
    <row r="11" ht="20.1" customHeight="1" spans="1:38">
      <c r="A11" s="25" t="s">
        <v>29</v>
      </c>
      <c r="B11" s="26" t="s">
        <v>30</v>
      </c>
      <c r="C11" s="27">
        <f t="shared" si="0"/>
        <v>43020</v>
      </c>
      <c r="D11" s="28">
        <f>11448-E11-F11-G11</f>
        <v>4848</v>
      </c>
      <c r="E11" s="41">
        <v>1690</v>
      </c>
      <c r="F11" s="41">
        <v>885</v>
      </c>
      <c r="G11" s="41">
        <v>4025</v>
      </c>
      <c r="H11" s="28">
        <f>9851-SUM(I11:Q11)</f>
        <v>6680</v>
      </c>
      <c r="I11" s="28"/>
      <c r="J11" s="28"/>
      <c r="K11" s="28"/>
      <c r="L11" s="28">
        <v>2063</v>
      </c>
      <c r="M11" s="28"/>
      <c r="N11" s="28"/>
      <c r="O11" s="28"/>
      <c r="P11" s="28"/>
      <c r="Q11" s="28">
        <v>1108</v>
      </c>
      <c r="R11" s="28"/>
      <c r="S11" s="28"/>
      <c r="T11" s="28"/>
      <c r="U11" s="28"/>
      <c r="V11" s="28"/>
      <c r="W11" s="28">
        <v>641</v>
      </c>
      <c r="X11" s="28">
        <v>3475</v>
      </c>
      <c r="Y11" s="28"/>
      <c r="Z11" s="42">
        <v>9687</v>
      </c>
      <c r="AA11" s="42">
        <v>188</v>
      </c>
      <c r="AB11" s="42">
        <v>147</v>
      </c>
      <c r="AC11" s="42">
        <v>1132</v>
      </c>
      <c r="AD11" s="42">
        <v>1332</v>
      </c>
      <c r="AE11" s="28"/>
      <c r="AF11" s="42">
        <v>3998</v>
      </c>
      <c r="AG11" s="42">
        <v>1121</v>
      </c>
      <c r="AH11" s="29"/>
      <c r="AI11" s="29"/>
      <c r="AJ11" s="29"/>
      <c r="AK11" s="29"/>
      <c r="AL11" s="27">
        <f t="shared" si="1"/>
        <v>0</v>
      </c>
    </row>
    <row r="12" ht="20.1" customHeight="1" spans="1:38">
      <c r="A12" s="25" t="s">
        <v>31</v>
      </c>
      <c r="B12" s="26" t="s">
        <v>32</v>
      </c>
      <c r="C12" s="27">
        <f t="shared" si="0"/>
        <v>1400</v>
      </c>
      <c r="D12" s="28">
        <f>526-E12-F12-G12</f>
        <v>222</v>
      </c>
      <c r="E12" s="41">
        <v>78</v>
      </c>
      <c r="F12" s="41">
        <v>41</v>
      </c>
      <c r="G12" s="41">
        <v>185</v>
      </c>
      <c r="H12" s="28">
        <f>321-SUM(I12:Q12)</f>
        <v>205</v>
      </c>
      <c r="I12" s="28"/>
      <c r="J12" s="28"/>
      <c r="K12" s="28"/>
      <c r="L12" s="28">
        <v>80</v>
      </c>
      <c r="M12" s="28"/>
      <c r="N12" s="28"/>
      <c r="O12" s="28"/>
      <c r="P12" s="28"/>
      <c r="Q12" s="28">
        <v>36</v>
      </c>
      <c r="R12" s="28"/>
      <c r="S12" s="28"/>
      <c r="T12" s="28"/>
      <c r="U12" s="28"/>
      <c r="V12" s="28"/>
      <c r="W12" s="28">
        <v>21</v>
      </c>
      <c r="X12" s="42">
        <v>113</v>
      </c>
      <c r="Y12" s="28"/>
      <c r="Z12" s="28">
        <v>0</v>
      </c>
      <c r="AA12" s="42">
        <v>0</v>
      </c>
      <c r="AB12" s="42">
        <v>298</v>
      </c>
      <c r="AC12" s="42">
        <v>37</v>
      </c>
      <c r="AD12" s="42"/>
      <c r="AE12" s="28"/>
      <c r="AF12" s="42">
        <v>12</v>
      </c>
      <c r="AG12" s="42">
        <v>72</v>
      </c>
      <c r="AH12" s="29"/>
      <c r="AI12" s="29"/>
      <c r="AJ12" s="29"/>
      <c r="AK12" s="29"/>
      <c r="AL12" s="27">
        <f t="shared" si="1"/>
        <v>0</v>
      </c>
    </row>
    <row r="13" ht="20.1" customHeight="1" spans="1:38">
      <c r="A13" s="25" t="s">
        <v>33</v>
      </c>
      <c r="B13" s="26" t="s">
        <v>34</v>
      </c>
      <c r="C13" s="27">
        <f t="shared" si="0"/>
        <v>11363</v>
      </c>
      <c r="D13" s="28">
        <f>470-E13-F13-G13</f>
        <v>200</v>
      </c>
      <c r="E13" s="41">
        <v>69</v>
      </c>
      <c r="F13" s="41">
        <v>36</v>
      </c>
      <c r="G13" s="41">
        <v>165</v>
      </c>
      <c r="H13" s="28">
        <f>604-SUM(I13:Q13)</f>
        <v>385</v>
      </c>
      <c r="I13" s="28"/>
      <c r="J13" s="28"/>
      <c r="K13" s="28"/>
      <c r="L13" s="28">
        <v>151</v>
      </c>
      <c r="M13" s="28"/>
      <c r="N13" s="28"/>
      <c r="O13" s="28"/>
      <c r="P13" s="28"/>
      <c r="Q13" s="28">
        <v>68</v>
      </c>
      <c r="R13" s="28"/>
      <c r="S13" s="28"/>
      <c r="T13" s="28"/>
      <c r="U13" s="28"/>
      <c r="V13" s="28"/>
      <c r="W13" s="28">
        <v>1369</v>
      </c>
      <c r="X13" s="42">
        <v>8000</v>
      </c>
      <c r="Y13" s="28"/>
      <c r="Z13" s="42">
        <v>0</v>
      </c>
      <c r="AA13" s="28">
        <v>0</v>
      </c>
      <c r="AB13" s="42">
        <v>571</v>
      </c>
      <c r="AC13" s="42">
        <v>296</v>
      </c>
      <c r="AD13" s="42"/>
      <c r="AE13" s="28"/>
      <c r="AF13" s="42">
        <v>32</v>
      </c>
      <c r="AG13" s="42">
        <v>21</v>
      </c>
      <c r="AH13" s="29"/>
      <c r="AI13" s="29"/>
      <c r="AJ13" s="29"/>
      <c r="AK13" s="29"/>
      <c r="AL13" s="27">
        <f t="shared" si="1"/>
        <v>0</v>
      </c>
    </row>
    <row r="14" ht="20.1" customHeight="1" spans="1:38">
      <c r="A14" s="25" t="s">
        <v>35</v>
      </c>
      <c r="B14" s="26" t="s">
        <v>36</v>
      </c>
      <c r="C14" s="27">
        <f t="shared" si="0"/>
        <v>29556</v>
      </c>
      <c r="D14" s="28">
        <f>2255-E14-F14-G14</f>
        <v>955</v>
      </c>
      <c r="E14" s="41">
        <v>333</v>
      </c>
      <c r="F14" s="41">
        <v>174</v>
      </c>
      <c r="G14" s="41">
        <v>793</v>
      </c>
      <c r="H14" s="28">
        <f>6768-SUM(I14:Q14)</f>
        <v>4315</v>
      </c>
      <c r="I14" s="28"/>
      <c r="J14" s="28"/>
      <c r="K14" s="28"/>
      <c r="L14" s="28">
        <v>1692</v>
      </c>
      <c r="M14" s="28"/>
      <c r="N14" s="28"/>
      <c r="O14" s="28"/>
      <c r="P14" s="28"/>
      <c r="Q14" s="28">
        <v>761</v>
      </c>
      <c r="R14" s="28"/>
      <c r="S14" s="28"/>
      <c r="T14" s="28"/>
      <c r="U14" s="28"/>
      <c r="V14" s="28"/>
      <c r="W14" s="28">
        <v>440</v>
      </c>
      <c r="X14" s="42">
        <v>387</v>
      </c>
      <c r="Y14" s="28"/>
      <c r="Z14" s="42">
        <v>9705</v>
      </c>
      <c r="AA14" s="42">
        <v>37</v>
      </c>
      <c r="AB14" s="28">
        <v>0</v>
      </c>
      <c r="AC14" s="42">
        <v>78</v>
      </c>
      <c r="AD14" s="42">
        <v>553</v>
      </c>
      <c r="AE14" s="28"/>
      <c r="AF14" s="42">
        <v>1001</v>
      </c>
      <c r="AG14" s="42">
        <v>8332</v>
      </c>
      <c r="AH14" s="29"/>
      <c r="AI14" s="29"/>
      <c r="AJ14" s="29"/>
      <c r="AK14" s="29"/>
      <c r="AL14" s="27">
        <f t="shared" si="1"/>
        <v>0</v>
      </c>
    </row>
    <row r="15" ht="20.1" customHeight="1" spans="1:38">
      <c r="A15" s="25" t="s">
        <v>37</v>
      </c>
      <c r="B15" s="26" t="s">
        <v>38</v>
      </c>
      <c r="C15" s="27">
        <f t="shared" si="0"/>
        <v>19499</v>
      </c>
      <c r="D15" s="28">
        <f>1110-E15-F15-G15</f>
        <v>469</v>
      </c>
      <c r="E15" s="41">
        <v>164</v>
      </c>
      <c r="F15" s="41">
        <v>86</v>
      </c>
      <c r="G15" s="41">
        <v>391</v>
      </c>
      <c r="H15" s="28">
        <f>9443-SUM(I15:Q15)</f>
        <v>6020</v>
      </c>
      <c r="I15" s="28"/>
      <c r="J15" s="28"/>
      <c r="K15" s="28"/>
      <c r="L15" s="28">
        <v>2361</v>
      </c>
      <c r="M15" s="28"/>
      <c r="N15" s="28"/>
      <c r="O15" s="28"/>
      <c r="P15" s="28"/>
      <c r="Q15" s="28">
        <v>1062</v>
      </c>
      <c r="R15" s="28"/>
      <c r="S15" s="28"/>
      <c r="T15" s="28"/>
      <c r="U15" s="28"/>
      <c r="V15" s="28"/>
      <c r="W15" s="28">
        <v>290</v>
      </c>
      <c r="X15" s="42">
        <v>1575</v>
      </c>
      <c r="Y15" s="28"/>
      <c r="Z15" s="42">
        <v>0</v>
      </c>
      <c r="AA15" s="42">
        <v>0</v>
      </c>
      <c r="AB15" s="42">
        <v>4146</v>
      </c>
      <c r="AC15" s="28">
        <v>513</v>
      </c>
      <c r="AD15" s="42">
        <v>462</v>
      </c>
      <c r="AE15" s="28"/>
      <c r="AF15" s="42">
        <f>2168-AD15</f>
        <v>1706</v>
      </c>
      <c r="AG15" s="42">
        <v>254</v>
      </c>
      <c r="AH15" s="29"/>
      <c r="AI15" s="29"/>
      <c r="AJ15" s="29"/>
      <c r="AK15" s="29"/>
      <c r="AL15" s="27">
        <f t="shared" si="1"/>
        <v>0</v>
      </c>
    </row>
    <row r="16" ht="20.1" customHeight="1" spans="1:38">
      <c r="A16" s="25" t="s">
        <v>39</v>
      </c>
      <c r="B16" s="26" t="s">
        <v>40</v>
      </c>
      <c r="C16" s="27">
        <f t="shared" si="0"/>
        <v>1576</v>
      </c>
      <c r="D16" s="28">
        <f>90-E16-F16-G16</f>
        <v>38</v>
      </c>
      <c r="E16" s="41">
        <v>13</v>
      </c>
      <c r="F16" s="41">
        <v>7</v>
      </c>
      <c r="G16" s="41">
        <v>32</v>
      </c>
      <c r="H16" s="28">
        <f>361-SUM(I16:Q16)</f>
        <v>230</v>
      </c>
      <c r="I16" s="28"/>
      <c r="J16" s="28"/>
      <c r="K16" s="28"/>
      <c r="L16" s="28">
        <v>90</v>
      </c>
      <c r="M16" s="28"/>
      <c r="N16" s="28"/>
      <c r="O16" s="28"/>
      <c r="P16" s="28"/>
      <c r="Q16" s="28">
        <v>41</v>
      </c>
      <c r="R16" s="28"/>
      <c r="S16" s="28"/>
      <c r="T16" s="28"/>
      <c r="U16" s="28"/>
      <c r="V16" s="28"/>
      <c r="W16" s="28">
        <v>550</v>
      </c>
      <c r="X16" s="42">
        <v>127</v>
      </c>
      <c r="Y16" s="28"/>
      <c r="Z16" s="42">
        <v>0</v>
      </c>
      <c r="AA16" s="42">
        <v>0</v>
      </c>
      <c r="AB16" s="42">
        <v>335</v>
      </c>
      <c r="AC16" s="42">
        <v>41</v>
      </c>
      <c r="AD16" s="28"/>
      <c r="AE16" s="28"/>
      <c r="AF16" s="28">
        <v>14</v>
      </c>
      <c r="AG16" s="42">
        <v>58</v>
      </c>
      <c r="AH16" s="29"/>
      <c r="AI16" s="29"/>
      <c r="AJ16" s="29"/>
      <c r="AK16" s="29"/>
      <c r="AL16" s="27">
        <f t="shared" si="1"/>
        <v>0</v>
      </c>
    </row>
    <row r="17" ht="20.1" customHeight="1" spans="1:38">
      <c r="A17" s="25" t="s">
        <v>41</v>
      </c>
      <c r="B17" s="26" t="s">
        <v>42</v>
      </c>
      <c r="C17" s="27">
        <f t="shared" si="0"/>
        <v>26995</v>
      </c>
      <c r="D17" s="28">
        <f>7182-E17-F17-G17</f>
        <v>3040</v>
      </c>
      <c r="E17" s="41">
        <v>1061</v>
      </c>
      <c r="F17" s="41">
        <v>556</v>
      </c>
      <c r="G17" s="41">
        <v>2525</v>
      </c>
      <c r="H17" s="28">
        <f>8022-SUM(I17:Q17)</f>
        <v>5114</v>
      </c>
      <c r="I17" s="28"/>
      <c r="J17" s="28"/>
      <c r="K17" s="28"/>
      <c r="L17" s="28">
        <v>2006</v>
      </c>
      <c r="M17" s="28"/>
      <c r="N17" s="28"/>
      <c r="O17" s="28"/>
      <c r="P17" s="28"/>
      <c r="Q17" s="28">
        <v>902</v>
      </c>
      <c r="R17" s="28"/>
      <c r="S17" s="28"/>
      <c r="T17" s="28"/>
      <c r="U17" s="28"/>
      <c r="V17" s="28"/>
      <c r="W17" s="28">
        <v>431</v>
      </c>
      <c r="X17" s="42">
        <v>2342</v>
      </c>
      <c r="Y17" s="28"/>
      <c r="Z17" s="42">
        <v>4601</v>
      </c>
      <c r="AA17" s="42">
        <v>313</v>
      </c>
      <c r="AB17" s="42">
        <v>1326</v>
      </c>
      <c r="AC17" s="42">
        <v>763</v>
      </c>
      <c r="AD17" s="42"/>
      <c r="AE17" s="28"/>
      <c r="AF17" s="42">
        <v>1661</v>
      </c>
      <c r="AG17" s="28">
        <v>354</v>
      </c>
      <c r="AH17" s="29"/>
      <c r="AI17" s="29"/>
      <c r="AJ17" s="29"/>
      <c r="AK17" s="29"/>
      <c r="AL17" s="27">
        <f t="shared" si="1"/>
        <v>0</v>
      </c>
    </row>
    <row r="18" ht="20.1" customHeight="1" spans="1:38">
      <c r="A18" s="25" t="s">
        <v>43</v>
      </c>
      <c r="B18" s="26" t="s">
        <v>44</v>
      </c>
      <c r="C18" s="27">
        <f t="shared" si="0"/>
        <v>8010</v>
      </c>
      <c r="D18" s="28">
        <f>456-E18-F18-G18</f>
        <v>194</v>
      </c>
      <c r="E18" s="41">
        <v>67</v>
      </c>
      <c r="F18" s="41">
        <v>35</v>
      </c>
      <c r="G18" s="41">
        <v>160</v>
      </c>
      <c r="H18" s="28">
        <f>4653-SUM(I18:Q18)</f>
        <v>2966</v>
      </c>
      <c r="I18" s="28"/>
      <c r="J18" s="28"/>
      <c r="K18" s="28"/>
      <c r="L18" s="28">
        <v>1163</v>
      </c>
      <c r="M18" s="28"/>
      <c r="N18" s="28"/>
      <c r="O18" s="28"/>
      <c r="P18" s="28"/>
      <c r="Q18" s="28">
        <v>524</v>
      </c>
      <c r="R18" s="28"/>
      <c r="S18" s="28"/>
      <c r="T18" s="28"/>
      <c r="U18" s="28"/>
      <c r="V18" s="28"/>
      <c r="W18" s="28">
        <v>119</v>
      </c>
      <c r="X18" s="42">
        <v>647</v>
      </c>
      <c r="Y18" s="28"/>
      <c r="Z18" s="42">
        <v>0</v>
      </c>
      <c r="AA18" s="42">
        <v>0</v>
      </c>
      <c r="AB18" s="42">
        <v>1703</v>
      </c>
      <c r="AC18" s="42">
        <v>211</v>
      </c>
      <c r="AD18" s="42"/>
      <c r="AE18" s="28"/>
      <c r="AF18" s="42">
        <v>73</v>
      </c>
      <c r="AG18" s="42">
        <v>148</v>
      </c>
      <c r="AH18" s="29"/>
      <c r="AI18" s="29"/>
      <c r="AJ18" s="29"/>
      <c r="AK18" s="29"/>
      <c r="AL18" s="27">
        <f t="shared" si="1"/>
        <v>0</v>
      </c>
    </row>
    <row r="19" ht="20.1" customHeight="1" spans="1:38">
      <c r="A19" s="25" t="s">
        <v>45</v>
      </c>
      <c r="B19" s="26" t="s">
        <v>46</v>
      </c>
      <c r="C19" s="27">
        <f t="shared" si="0"/>
        <v>7210</v>
      </c>
      <c r="D19" s="28">
        <f>409-E19-F19-G19</f>
        <v>173</v>
      </c>
      <c r="E19" s="41">
        <v>60</v>
      </c>
      <c r="F19" s="41">
        <v>32</v>
      </c>
      <c r="G19" s="41">
        <v>144</v>
      </c>
      <c r="H19" s="28">
        <f>1654-SUM(I19:Q19)</f>
        <v>1054</v>
      </c>
      <c r="I19" s="28"/>
      <c r="J19" s="28"/>
      <c r="K19" s="28"/>
      <c r="L19" s="28">
        <v>414</v>
      </c>
      <c r="M19" s="28"/>
      <c r="N19" s="28"/>
      <c r="O19" s="28"/>
      <c r="P19" s="28"/>
      <c r="Q19" s="28">
        <v>186</v>
      </c>
      <c r="R19" s="28"/>
      <c r="S19" s="28"/>
      <c r="T19" s="28"/>
      <c r="U19" s="28"/>
      <c r="V19" s="28"/>
      <c r="W19" s="28">
        <v>2555</v>
      </c>
      <c r="X19" s="42">
        <v>583</v>
      </c>
      <c r="Y19" s="28"/>
      <c r="Z19" s="42">
        <v>0</v>
      </c>
      <c r="AA19" s="42">
        <v>0</v>
      </c>
      <c r="AB19" s="42">
        <v>1531</v>
      </c>
      <c r="AC19" s="42">
        <v>189</v>
      </c>
      <c r="AD19" s="42"/>
      <c r="AE19" s="28"/>
      <c r="AF19" s="42">
        <v>66</v>
      </c>
      <c r="AG19" s="42">
        <v>223</v>
      </c>
      <c r="AH19" s="29"/>
      <c r="AI19" s="29"/>
      <c r="AJ19" s="29"/>
      <c r="AK19" s="29"/>
      <c r="AL19" s="27">
        <f t="shared" si="1"/>
        <v>0</v>
      </c>
    </row>
    <row r="20" ht="20.1" customHeight="1" spans="1:38">
      <c r="A20" s="25" t="s">
        <v>47</v>
      </c>
      <c r="B20" s="30" t="s">
        <v>48</v>
      </c>
      <c r="C20" s="27">
        <f t="shared" si="0"/>
        <v>2076</v>
      </c>
      <c r="D20" s="28">
        <f>118-E20-F20-G20</f>
        <v>50</v>
      </c>
      <c r="E20" s="41">
        <v>17</v>
      </c>
      <c r="F20" s="41">
        <v>9</v>
      </c>
      <c r="G20" s="41">
        <v>42</v>
      </c>
      <c r="H20" s="28">
        <f>1156-SUM(I20:Q20)</f>
        <v>737</v>
      </c>
      <c r="I20" s="28"/>
      <c r="J20" s="28"/>
      <c r="K20" s="28"/>
      <c r="L20" s="28">
        <v>289</v>
      </c>
      <c r="M20" s="28"/>
      <c r="N20" s="28"/>
      <c r="O20" s="28"/>
      <c r="P20" s="28"/>
      <c r="Q20" s="28">
        <v>130</v>
      </c>
      <c r="R20" s="28"/>
      <c r="S20" s="28"/>
      <c r="T20" s="28"/>
      <c r="U20" s="28"/>
      <c r="V20" s="28"/>
      <c r="W20" s="28">
        <v>31</v>
      </c>
      <c r="X20" s="42">
        <v>168</v>
      </c>
      <c r="Y20" s="28"/>
      <c r="Z20" s="42">
        <v>0</v>
      </c>
      <c r="AA20" s="42">
        <v>0</v>
      </c>
      <c r="AB20" s="42">
        <v>441</v>
      </c>
      <c r="AC20" s="42">
        <v>55</v>
      </c>
      <c r="AD20" s="42"/>
      <c r="AE20" s="28"/>
      <c r="AF20" s="42">
        <v>19</v>
      </c>
      <c r="AG20" s="42">
        <v>88</v>
      </c>
      <c r="AH20" s="29"/>
      <c r="AI20" s="29"/>
      <c r="AJ20" s="29"/>
      <c r="AK20" s="29"/>
      <c r="AL20" s="27">
        <f t="shared" si="1"/>
        <v>0</v>
      </c>
    </row>
    <row r="21" ht="20.1" customHeight="1" spans="1:38">
      <c r="A21" s="25" t="s">
        <v>49</v>
      </c>
      <c r="B21" s="30" t="s">
        <v>50</v>
      </c>
      <c r="C21" s="27">
        <f t="shared" si="0"/>
        <v>1469</v>
      </c>
      <c r="D21" s="28">
        <f>83-E21-F21-G21</f>
        <v>35</v>
      </c>
      <c r="E21" s="41">
        <v>12</v>
      </c>
      <c r="F21" s="41">
        <v>6</v>
      </c>
      <c r="G21" s="41">
        <v>30</v>
      </c>
      <c r="H21" s="28">
        <f>337-SUM(I21:Q21)</f>
        <v>215</v>
      </c>
      <c r="I21" s="28"/>
      <c r="J21" s="28"/>
      <c r="K21" s="28"/>
      <c r="L21" s="28">
        <v>84</v>
      </c>
      <c r="M21" s="28"/>
      <c r="N21" s="28"/>
      <c r="O21" s="28"/>
      <c r="P21" s="28"/>
      <c r="Q21" s="28">
        <v>38</v>
      </c>
      <c r="R21" s="28"/>
      <c r="S21" s="28"/>
      <c r="T21" s="28"/>
      <c r="U21" s="28"/>
      <c r="V21" s="28"/>
      <c r="W21" s="28">
        <v>22</v>
      </c>
      <c r="X21" s="28">
        <v>119</v>
      </c>
      <c r="Y21" s="28"/>
      <c r="Z21" s="28">
        <v>0</v>
      </c>
      <c r="AA21" s="28">
        <v>59</v>
      </c>
      <c r="AB21" s="28">
        <v>783</v>
      </c>
      <c r="AC21" s="28">
        <v>39</v>
      </c>
      <c r="AD21" s="28"/>
      <c r="AE21" s="28"/>
      <c r="AF21" s="28">
        <v>14</v>
      </c>
      <c r="AG21" s="28">
        <v>13</v>
      </c>
      <c r="AH21" s="29"/>
      <c r="AI21" s="29"/>
      <c r="AJ21" s="29"/>
      <c r="AK21" s="29"/>
      <c r="AL21" s="27">
        <f t="shared" si="1"/>
        <v>0</v>
      </c>
    </row>
    <row r="22" ht="20.1" customHeight="1" spans="1:38">
      <c r="A22" s="25" t="s">
        <v>51</v>
      </c>
      <c r="B22" s="31" t="s">
        <v>52</v>
      </c>
      <c r="C22" s="27">
        <f t="shared" si="0"/>
        <v>10</v>
      </c>
      <c r="D22" s="28">
        <v>0</v>
      </c>
      <c r="E22" s="41">
        <v>0</v>
      </c>
      <c r="F22" s="41">
        <v>0</v>
      </c>
      <c r="G22" s="41">
        <v>0</v>
      </c>
      <c r="H22" s="28">
        <v>0</v>
      </c>
      <c r="I22" s="28"/>
      <c r="J22" s="28"/>
      <c r="K22" s="28"/>
      <c r="L22" s="28">
        <v>0</v>
      </c>
      <c r="M22" s="28"/>
      <c r="N22" s="28"/>
      <c r="O22" s="28"/>
      <c r="P22" s="28"/>
      <c r="Q22" s="28">
        <v>0</v>
      </c>
      <c r="R22" s="28"/>
      <c r="S22" s="28"/>
      <c r="T22" s="28"/>
      <c r="U22" s="28"/>
      <c r="V22" s="28"/>
      <c r="W22" s="28">
        <v>0</v>
      </c>
      <c r="X22" s="42">
        <v>0</v>
      </c>
      <c r="Y22" s="28"/>
      <c r="Z22" s="42">
        <v>0</v>
      </c>
      <c r="AA22" s="42">
        <v>0</v>
      </c>
      <c r="AB22" s="42">
        <v>10</v>
      </c>
      <c r="AC22" s="42">
        <v>0</v>
      </c>
      <c r="AD22" s="42"/>
      <c r="AE22" s="28"/>
      <c r="AF22" s="42">
        <v>0</v>
      </c>
      <c r="AG22" s="42">
        <v>0</v>
      </c>
      <c r="AH22" s="29"/>
      <c r="AI22" s="29"/>
      <c r="AJ22" s="29"/>
      <c r="AK22" s="29"/>
      <c r="AL22" s="27">
        <f t="shared" si="1"/>
        <v>0</v>
      </c>
    </row>
    <row r="23" ht="20.1" customHeight="1" spans="1:38">
      <c r="A23" s="25" t="s">
        <v>53</v>
      </c>
      <c r="B23" s="30" t="s">
        <v>54</v>
      </c>
      <c r="C23" s="27">
        <f t="shared" si="0"/>
        <v>0</v>
      </c>
      <c r="D23" s="28">
        <v>0</v>
      </c>
      <c r="E23" s="41">
        <v>0</v>
      </c>
      <c r="F23" s="41">
        <v>0</v>
      </c>
      <c r="G23" s="41">
        <v>0</v>
      </c>
      <c r="H23" s="28">
        <v>0</v>
      </c>
      <c r="I23" s="28"/>
      <c r="J23" s="28"/>
      <c r="K23" s="28"/>
      <c r="L23" s="28">
        <v>0</v>
      </c>
      <c r="M23" s="28"/>
      <c r="N23" s="28"/>
      <c r="O23" s="28"/>
      <c r="P23" s="28"/>
      <c r="Q23" s="28">
        <v>0</v>
      </c>
      <c r="R23" s="28"/>
      <c r="S23" s="28"/>
      <c r="T23" s="28"/>
      <c r="U23" s="28"/>
      <c r="V23" s="28"/>
      <c r="W23" s="28">
        <v>0</v>
      </c>
      <c r="X23" s="42">
        <v>0</v>
      </c>
      <c r="Y23" s="28"/>
      <c r="Z23" s="42">
        <v>0</v>
      </c>
      <c r="AA23" s="42">
        <v>0</v>
      </c>
      <c r="AB23" s="42">
        <v>0</v>
      </c>
      <c r="AC23" s="42">
        <v>0</v>
      </c>
      <c r="AD23" s="42"/>
      <c r="AE23" s="28"/>
      <c r="AF23" s="42">
        <v>0</v>
      </c>
      <c r="AG23" s="42">
        <v>0</v>
      </c>
      <c r="AH23" s="29"/>
      <c r="AI23" s="29"/>
      <c r="AJ23" s="29"/>
      <c r="AK23" s="29"/>
      <c r="AL23" s="27">
        <f t="shared" si="1"/>
        <v>0</v>
      </c>
    </row>
    <row r="24" ht="20.1" customHeight="1" spans="1:38">
      <c r="A24" s="25" t="s">
        <v>55</v>
      </c>
      <c r="B24" s="30" t="s">
        <v>56</v>
      </c>
      <c r="C24" s="27">
        <f t="shared" si="0"/>
        <v>86</v>
      </c>
      <c r="D24" s="28">
        <f>6-E24-F24-G24</f>
        <v>3</v>
      </c>
      <c r="E24" s="41">
        <v>1</v>
      </c>
      <c r="F24" s="41">
        <v>0</v>
      </c>
      <c r="G24" s="41">
        <v>2</v>
      </c>
      <c r="H24" s="28">
        <f>23-SUM(I24:Q24)</f>
        <v>14</v>
      </c>
      <c r="I24" s="28"/>
      <c r="J24" s="28"/>
      <c r="K24" s="28"/>
      <c r="L24" s="28">
        <v>6</v>
      </c>
      <c r="M24" s="28"/>
      <c r="N24" s="28"/>
      <c r="O24" s="28"/>
      <c r="P24" s="28"/>
      <c r="Q24" s="28">
        <v>3</v>
      </c>
      <c r="R24" s="28"/>
      <c r="S24" s="28"/>
      <c r="T24" s="28"/>
      <c r="U24" s="28"/>
      <c r="V24" s="28"/>
      <c r="W24" s="28">
        <v>1</v>
      </c>
      <c r="X24" s="42">
        <v>8</v>
      </c>
      <c r="Y24" s="28"/>
      <c r="Z24" s="42">
        <v>0</v>
      </c>
      <c r="AA24" s="42">
        <v>0</v>
      </c>
      <c r="AB24" s="42">
        <v>20</v>
      </c>
      <c r="AC24" s="42">
        <v>3</v>
      </c>
      <c r="AD24" s="42"/>
      <c r="AE24" s="28"/>
      <c r="AF24" s="42">
        <v>1</v>
      </c>
      <c r="AG24" s="42">
        <v>24</v>
      </c>
      <c r="AH24" s="29"/>
      <c r="AI24" s="29"/>
      <c r="AJ24" s="29"/>
      <c r="AK24" s="29"/>
      <c r="AL24" s="27">
        <f t="shared" si="1"/>
        <v>0</v>
      </c>
    </row>
    <row r="25" ht="20.1" customHeight="1" spans="1:38">
      <c r="A25" s="25" t="s">
        <v>57</v>
      </c>
      <c r="B25" s="30" t="s">
        <v>58</v>
      </c>
      <c r="C25" s="27">
        <f t="shared" si="0"/>
        <v>11622</v>
      </c>
      <c r="D25" s="28">
        <f>1864-E25-F25-G25</f>
        <v>789</v>
      </c>
      <c r="E25" s="41">
        <v>275</v>
      </c>
      <c r="F25" s="41">
        <v>144</v>
      </c>
      <c r="G25" s="41">
        <v>656</v>
      </c>
      <c r="H25" s="28">
        <f>3163-SUM(I25:Q25)</f>
        <v>2016</v>
      </c>
      <c r="I25" s="28"/>
      <c r="J25" s="28"/>
      <c r="K25" s="28"/>
      <c r="L25" s="28">
        <v>791</v>
      </c>
      <c r="M25" s="28"/>
      <c r="N25" s="28"/>
      <c r="O25" s="28"/>
      <c r="P25" s="28"/>
      <c r="Q25" s="28">
        <v>356</v>
      </c>
      <c r="R25" s="28"/>
      <c r="S25" s="28"/>
      <c r="T25" s="28"/>
      <c r="U25" s="28"/>
      <c r="V25" s="28"/>
      <c r="W25" s="28">
        <v>1376</v>
      </c>
      <c r="X25" s="42">
        <v>938</v>
      </c>
      <c r="Y25" s="28"/>
      <c r="Z25" s="42">
        <v>702</v>
      </c>
      <c r="AA25" s="42">
        <v>0</v>
      </c>
      <c r="AB25" s="42">
        <v>2471</v>
      </c>
      <c r="AC25" s="42">
        <v>305</v>
      </c>
      <c r="AD25" s="42"/>
      <c r="AE25" s="28"/>
      <c r="AF25" s="42">
        <v>106</v>
      </c>
      <c r="AG25" s="42">
        <v>697</v>
      </c>
      <c r="AH25" s="29"/>
      <c r="AI25" s="29"/>
      <c r="AJ25" s="29"/>
      <c r="AK25" s="29"/>
      <c r="AL25" s="27">
        <f t="shared" si="1"/>
        <v>0</v>
      </c>
    </row>
    <row r="26" ht="20.1" customHeight="1" spans="1:38">
      <c r="A26" s="25" t="s">
        <v>59</v>
      </c>
      <c r="B26" s="30" t="s">
        <v>60</v>
      </c>
      <c r="C26" s="27">
        <f t="shared" si="0"/>
        <v>0</v>
      </c>
      <c r="D26" s="28">
        <v>0</v>
      </c>
      <c r="E26" s="41">
        <v>0</v>
      </c>
      <c r="F26" s="41">
        <v>0</v>
      </c>
      <c r="G26" s="41">
        <v>0</v>
      </c>
      <c r="H26" s="28">
        <v>0</v>
      </c>
      <c r="I26" s="28"/>
      <c r="J26" s="28"/>
      <c r="K26" s="28"/>
      <c r="L26" s="28">
        <v>0</v>
      </c>
      <c r="M26" s="28"/>
      <c r="N26" s="28"/>
      <c r="O26" s="28"/>
      <c r="P26" s="28"/>
      <c r="Q26" s="28">
        <v>0</v>
      </c>
      <c r="R26" s="28"/>
      <c r="S26" s="28"/>
      <c r="T26" s="28"/>
      <c r="U26" s="28"/>
      <c r="V26" s="28"/>
      <c r="W26" s="28">
        <v>0</v>
      </c>
      <c r="X26" s="42">
        <v>0</v>
      </c>
      <c r="Y26" s="28"/>
      <c r="Z26" s="42">
        <v>0</v>
      </c>
      <c r="AA26" s="42">
        <v>0</v>
      </c>
      <c r="AB26" s="42">
        <v>0</v>
      </c>
      <c r="AC26" s="42">
        <v>0</v>
      </c>
      <c r="AD26" s="42"/>
      <c r="AE26" s="28"/>
      <c r="AF26" s="42">
        <v>0</v>
      </c>
      <c r="AG26" s="42">
        <v>0</v>
      </c>
      <c r="AH26" s="29"/>
      <c r="AI26" s="29"/>
      <c r="AJ26" s="29"/>
      <c r="AK26" s="29"/>
      <c r="AL26" s="27">
        <f t="shared" si="1"/>
        <v>0</v>
      </c>
    </row>
    <row r="27" ht="20.1" customHeight="1" spans="1:38">
      <c r="A27" s="25" t="s">
        <v>61</v>
      </c>
      <c r="B27" s="30" t="s">
        <v>62</v>
      </c>
      <c r="C27" s="27">
        <f t="shared" si="0"/>
        <v>3700</v>
      </c>
      <c r="D27" s="28">
        <f>210-E27-F27-G27</f>
        <v>89</v>
      </c>
      <c r="E27" s="41">
        <v>31</v>
      </c>
      <c r="F27" s="41">
        <v>16</v>
      </c>
      <c r="G27" s="41">
        <v>74</v>
      </c>
      <c r="H27" s="28">
        <f>1849-SUM(I27:Q27)</f>
        <v>1179</v>
      </c>
      <c r="I27" s="28"/>
      <c r="J27" s="28"/>
      <c r="K27" s="28"/>
      <c r="L27" s="28">
        <v>462</v>
      </c>
      <c r="M27" s="28"/>
      <c r="N27" s="28"/>
      <c r="O27" s="28"/>
      <c r="P27" s="28"/>
      <c r="Q27" s="28">
        <v>208</v>
      </c>
      <c r="R27" s="28"/>
      <c r="S27" s="28"/>
      <c r="T27" s="28"/>
      <c r="U27" s="28"/>
      <c r="V27" s="28"/>
      <c r="W27" s="28">
        <v>55</v>
      </c>
      <c r="X27" s="42">
        <v>999</v>
      </c>
      <c r="Y27" s="28"/>
      <c r="Z27" s="42">
        <v>0</v>
      </c>
      <c r="AA27" s="42">
        <v>0</v>
      </c>
      <c r="AB27" s="42">
        <v>86</v>
      </c>
      <c r="AC27" s="42">
        <v>98</v>
      </c>
      <c r="AD27" s="42"/>
      <c r="AE27" s="28"/>
      <c r="AF27" s="42">
        <v>33</v>
      </c>
      <c r="AG27" s="42">
        <v>370</v>
      </c>
      <c r="AH27" s="29"/>
      <c r="AI27" s="29"/>
      <c r="AJ27" s="29"/>
      <c r="AK27" s="29"/>
      <c r="AL27" s="27">
        <f t="shared" si="1"/>
        <v>0</v>
      </c>
    </row>
    <row r="28" ht="20.1" customHeight="1" spans="1:38">
      <c r="A28" s="25" t="s">
        <v>63</v>
      </c>
      <c r="B28" s="31" t="s">
        <v>64</v>
      </c>
      <c r="C28" s="27">
        <f t="shared" si="0"/>
        <v>2200</v>
      </c>
      <c r="D28" s="43"/>
      <c r="E28" s="43"/>
      <c r="F28" s="43"/>
      <c r="G28" s="43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44"/>
      <c r="AI28" s="44"/>
      <c r="AJ28" s="44"/>
      <c r="AK28" s="45">
        <v>2200</v>
      </c>
      <c r="AL28" s="44"/>
    </row>
    <row r="29" ht="20.1" customHeight="1" spans="1:38">
      <c r="A29" s="25" t="s">
        <v>65</v>
      </c>
      <c r="B29" s="26" t="s">
        <v>20</v>
      </c>
      <c r="C29" s="27">
        <f>SUM(D29:AL29)</f>
        <v>2862</v>
      </c>
      <c r="D29" s="41"/>
      <c r="E29" s="41"/>
      <c r="F29" s="41"/>
      <c r="G29" s="41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44"/>
      <c r="AI29" s="44"/>
      <c r="AJ29" s="44"/>
      <c r="AK29" s="45">
        <v>0</v>
      </c>
      <c r="AL29" s="46">
        <v>2862</v>
      </c>
    </row>
    <row r="30" ht="20.1" customHeight="1" spans="1:38">
      <c r="A30" s="25" t="s">
        <v>66</v>
      </c>
      <c r="B30" s="30" t="s">
        <v>67</v>
      </c>
      <c r="C30" s="27">
        <f t="shared" ref="C30:C33" si="2">SUM(D30:AK30)</f>
        <v>3155</v>
      </c>
      <c r="D30" s="29">
        <f t="shared" ref="D30:D33" si="3">ROUND($D$37*D63,0)</f>
        <v>0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45">
        <v>3155</v>
      </c>
      <c r="AI30" s="44"/>
      <c r="AJ30" s="44"/>
      <c r="AK30" s="44"/>
      <c r="AL30" s="44"/>
    </row>
    <row r="31" ht="20.1" customHeight="1" spans="1:38">
      <c r="A31" s="25" t="s">
        <v>68</v>
      </c>
      <c r="B31" s="30" t="s">
        <v>69</v>
      </c>
      <c r="C31" s="27">
        <f t="shared" si="2"/>
        <v>0</v>
      </c>
      <c r="D31" s="29">
        <f t="shared" si="3"/>
        <v>0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45">
        <v>0</v>
      </c>
      <c r="AI31" s="44"/>
      <c r="AJ31" s="44"/>
      <c r="AK31" s="44"/>
      <c r="AL31" s="44"/>
    </row>
    <row r="32" ht="20.1" customHeight="1" spans="1:38">
      <c r="A32" s="25" t="s">
        <v>70</v>
      </c>
      <c r="B32" s="26" t="s">
        <v>18</v>
      </c>
      <c r="C32" s="27">
        <f t="shared" si="2"/>
        <v>15718</v>
      </c>
      <c r="D32" s="29">
        <f t="shared" si="3"/>
        <v>0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44"/>
      <c r="AI32" s="44"/>
      <c r="AJ32" s="45">
        <v>15718</v>
      </c>
      <c r="AK32" s="44"/>
      <c r="AL32" s="44"/>
    </row>
    <row r="33" ht="20.1" customHeight="1" spans="1:39">
      <c r="A33" s="25" t="s">
        <v>71</v>
      </c>
      <c r="B33" s="26" t="s">
        <v>17</v>
      </c>
      <c r="C33" s="27">
        <f t="shared" si="2"/>
        <v>5550</v>
      </c>
      <c r="D33" s="29">
        <f t="shared" si="3"/>
        <v>0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44"/>
      <c r="AI33" s="45">
        <v>5550</v>
      </c>
      <c r="AJ33" s="44"/>
      <c r="AK33" s="44"/>
      <c r="AL33" s="44"/>
    </row>
    <row r="34" ht="20.1" customHeight="1" spans="1:39">
      <c r="A34" s="25"/>
      <c r="B34" s="33"/>
      <c r="C34" s="34"/>
      <c r="D34" s="35"/>
      <c r="E34" s="35"/>
      <c r="F34" s="35"/>
      <c r="G34" s="35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5"/>
      <c r="S34" s="35"/>
      <c r="T34" s="35"/>
      <c r="U34" s="35"/>
      <c r="V34" s="35"/>
      <c r="W34" s="35"/>
      <c r="X34" s="35"/>
      <c r="Y34" s="35"/>
      <c r="Z34" s="35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ht="20.1" customHeight="1" spans="1:39">
      <c r="A35" s="37" t="s">
        <v>72</v>
      </c>
      <c r="B35" s="38"/>
      <c r="C35" s="27">
        <f t="shared" ref="C35:AK35" si="4">SUM(C7:C33)</f>
        <v>225028</v>
      </c>
      <c r="D35" s="47">
        <f t="shared" si="4"/>
        <v>13417</v>
      </c>
      <c r="E35" s="47">
        <f t="shared" si="4"/>
        <v>4678</v>
      </c>
      <c r="F35" s="47">
        <f t="shared" si="4"/>
        <v>2450</v>
      </c>
      <c r="G35" s="47">
        <f t="shared" si="4"/>
        <v>11144</v>
      </c>
      <c r="H35" s="27">
        <f t="shared" si="4"/>
        <v>38540</v>
      </c>
      <c r="I35" s="27">
        <f t="shared" si="4"/>
        <v>0</v>
      </c>
      <c r="J35" s="27">
        <f t="shared" si="4"/>
        <v>15</v>
      </c>
      <c r="K35" s="27">
        <f t="shared" si="4"/>
        <v>0</v>
      </c>
      <c r="L35" s="27">
        <f t="shared" si="4"/>
        <v>14338</v>
      </c>
      <c r="M35" s="27">
        <f t="shared" si="4"/>
        <v>251</v>
      </c>
      <c r="N35" s="27">
        <f t="shared" si="4"/>
        <v>16</v>
      </c>
      <c r="O35" s="27">
        <f t="shared" si="4"/>
        <v>179</v>
      </c>
      <c r="P35" s="27">
        <f t="shared" si="4"/>
        <v>0</v>
      </c>
      <c r="Q35" s="27">
        <f t="shared" si="4"/>
        <v>6631</v>
      </c>
      <c r="R35" s="47">
        <f t="shared" si="4"/>
        <v>0</v>
      </c>
      <c r="S35" s="47">
        <f t="shared" si="4"/>
        <v>0</v>
      </c>
      <c r="T35" s="47">
        <f t="shared" si="4"/>
        <v>50</v>
      </c>
      <c r="U35" s="47">
        <f t="shared" si="4"/>
        <v>0</v>
      </c>
      <c r="V35" s="47">
        <f t="shared" si="4"/>
        <v>0</v>
      </c>
      <c r="W35" s="47">
        <f t="shared" si="4"/>
        <v>8666</v>
      </c>
      <c r="X35" s="47">
        <f t="shared" si="4"/>
        <v>20937</v>
      </c>
      <c r="Y35" s="47">
        <f t="shared" si="4"/>
        <v>0</v>
      </c>
      <c r="Z35" s="47">
        <f t="shared" si="4"/>
        <v>27567</v>
      </c>
      <c r="AA35" s="47">
        <f t="shared" si="4"/>
        <v>728</v>
      </c>
      <c r="AB35" s="47">
        <f t="shared" si="4"/>
        <v>14564</v>
      </c>
      <c r="AC35" s="47">
        <f t="shared" si="4"/>
        <v>4080</v>
      </c>
      <c r="AD35" s="47">
        <f t="shared" si="4"/>
        <v>4273</v>
      </c>
      <c r="AE35" s="47">
        <f t="shared" si="4"/>
        <v>74</v>
      </c>
      <c r="AF35" s="47">
        <f t="shared" si="4"/>
        <v>10452</v>
      </c>
      <c r="AG35" s="47">
        <f t="shared" si="4"/>
        <v>12493</v>
      </c>
      <c r="AH35" s="47">
        <f t="shared" si="4"/>
        <v>3155</v>
      </c>
      <c r="AI35" s="47">
        <f t="shared" si="4"/>
        <v>5550</v>
      </c>
      <c r="AJ35" s="47">
        <f t="shared" si="4"/>
        <v>15718</v>
      </c>
      <c r="AK35" s="47">
        <f t="shared" si="4"/>
        <v>2200</v>
      </c>
      <c r="AL35" s="47">
        <f>C35-SUM(D35:AK35)</f>
        <v>2862</v>
      </c>
    </row>
    <row r="36" spans="1:39">
      <c r="B36" s="3">
        <v>2025</v>
      </c>
      <c r="C36" s="3">
        <f t="shared" ref="C36:C39" si="5">SUM(D36:AL36)</f>
        <v>225028</v>
      </c>
      <c r="D36" s="3">
        <v>31689</v>
      </c>
      <c r="H36" s="3">
        <v>59970</v>
      </c>
      <c r="R36" s="3">
        <v>8716</v>
      </c>
      <c r="X36" s="3">
        <v>20937</v>
      </c>
      <c r="Y36" s="48">
        <v>27567</v>
      </c>
      <c r="Z36" s="48"/>
      <c r="AA36" s="3">
        <v>728</v>
      </c>
      <c r="AB36" s="3">
        <v>14564</v>
      </c>
      <c r="AC36" s="3">
        <v>4080</v>
      </c>
      <c r="AD36" s="3">
        <v>14799</v>
      </c>
      <c r="AG36" s="3">
        <v>12493</v>
      </c>
      <c r="AH36" s="3">
        <v>3155</v>
      </c>
      <c r="AI36" s="3">
        <v>5550</v>
      </c>
      <c r="AJ36" s="3">
        <v>15718</v>
      </c>
      <c r="AK36" s="3">
        <v>2200</v>
      </c>
      <c r="AL36" s="3">
        <v>2862</v>
      </c>
    </row>
    <row r="37" hidden="1" spans="1:39">
      <c r="C37" s="3">
        <f t="shared" si="5"/>
        <v>225027.501411945</v>
      </c>
      <c r="D37" s="3">
        <f>$D$36/$D$38*D39</f>
        <v>19013.4</v>
      </c>
      <c r="E37" s="3">
        <f>$D$36/$D$38*E39</f>
        <v>6464.556</v>
      </c>
      <c r="F37" s="3">
        <f>$D$36/$D$38*F39</f>
        <v>2281.608</v>
      </c>
      <c r="G37" s="3">
        <f>$D$36/$D$38*G39</f>
        <v>3929.16717577197</v>
      </c>
      <c r="H37" s="3">
        <f t="shared" ref="H37:Q37" si="6">$H$36/$H$38*H39</f>
        <v>47920.0360964396</v>
      </c>
      <c r="I37" s="3">
        <f t="shared" si="6"/>
        <v>1199.56411701924</v>
      </c>
      <c r="J37" s="3">
        <f t="shared" si="6"/>
        <v>1199.4</v>
      </c>
      <c r="K37" s="3">
        <f t="shared" si="6"/>
        <v>0</v>
      </c>
      <c r="L37" s="3">
        <f t="shared" si="6"/>
        <v>2454.14025888728</v>
      </c>
      <c r="M37" s="3">
        <f t="shared" si="6"/>
        <v>206.787444240716</v>
      </c>
      <c r="N37" s="3">
        <f t="shared" si="6"/>
        <v>13.1293615390931</v>
      </c>
      <c r="O37" s="3">
        <f t="shared" si="6"/>
        <v>140.320051449057</v>
      </c>
      <c r="P37" s="3">
        <f t="shared" si="6"/>
        <v>0</v>
      </c>
      <c r="Q37" s="3">
        <f t="shared" si="6"/>
        <v>6836.39290659807</v>
      </c>
      <c r="R37" s="3">
        <f t="shared" ref="R37:W37" si="7">$R$36/$R$38*R39</f>
        <v>435.8</v>
      </c>
      <c r="S37" s="3">
        <f t="shared" si="7"/>
        <v>2179</v>
      </c>
      <c r="T37" s="3">
        <f t="shared" si="7"/>
        <v>70.6439351593069</v>
      </c>
      <c r="U37" s="3">
        <f t="shared" si="7"/>
        <v>2979.95606484069</v>
      </c>
      <c r="V37" s="3">
        <f t="shared" si="7"/>
        <v>1307.4</v>
      </c>
      <c r="W37" s="3">
        <f t="shared" si="7"/>
        <v>1743.2</v>
      </c>
      <c r="X37" s="3">
        <f>$X$36/$X$38*X39</f>
        <v>20937</v>
      </c>
      <c r="Y37" s="3">
        <f>$Y$36/$Y$38*Y39</f>
        <v>5513.4</v>
      </c>
      <c r="Z37" s="3">
        <f>$Y$36/$Y$38*Z39</f>
        <v>22053.6</v>
      </c>
      <c r="AA37" s="3">
        <f t="shared" ref="AA37:AC37" si="8">AA36/AA38*AA39</f>
        <v>728</v>
      </c>
      <c r="AB37" s="3">
        <f t="shared" si="8"/>
        <v>14564</v>
      </c>
      <c r="AC37" s="3">
        <f t="shared" si="8"/>
        <v>4080</v>
      </c>
      <c r="AD37" s="3">
        <f t="shared" ref="AD37:AF37" si="9">$AD$36/$AD$38*AD39</f>
        <v>2071.4058757825</v>
      </c>
      <c r="AE37" s="3">
        <f t="shared" si="9"/>
        <v>1628.04137473917</v>
      </c>
      <c r="AF37" s="3">
        <f t="shared" si="9"/>
        <v>11099.5527494783</v>
      </c>
      <c r="AG37" s="3">
        <f t="shared" ref="AG37:AK37" si="10">AG36/AG38*AG39</f>
        <v>12493</v>
      </c>
      <c r="AH37" s="3">
        <f t="shared" si="10"/>
        <v>3155</v>
      </c>
      <c r="AI37" s="3">
        <f t="shared" si="10"/>
        <v>5550</v>
      </c>
      <c r="AJ37" s="3">
        <f t="shared" si="10"/>
        <v>15718</v>
      </c>
      <c r="AK37" s="3">
        <f t="shared" si="10"/>
        <v>2200</v>
      </c>
      <c r="AL37" s="3">
        <v>2862</v>
      </c>
    </row>
    <row r="38" hidden="1" spans="1:39">
      <c r="B38" s="3">
        <v>2024</v>
      </c>
      <c r="C38" s="3">
        <f t="shared" si="5"/>
        <v>245080</v>
      </c>
      <c r="D38" s="3">
        <v>23576</v>
      </c>
      <c r="H38" s="3">
        <v>73082</v>
      </c>
      <c r="R38" s="3">
        <v>7156</v>
      </c>
      <c r="X38" s="3">
        <v>16069</v>
      </c>
      <c r="Y38" s="3">
        <v>30447</v>
      </c>
      <c r="AA38" s="3">
        <v>919</v>
      </c>
      <c r="AB38" s="3">
        <v>25785</v>
      </c>
      <c r="AC38" s="3">
        <v>4574</v>
      </c>
      <c r="AD38" s="3">
        <v>24441</v>
      </c>
      <c r="AG38" s="3">
        <v>7477</v>
      </c>
      <c r="AH38" s="3">
        <v>5610</v>
      </c>
      <c r="AI38" s="3">
        <v>2414</v>
      </c>
      <c r="AJ38" s="3">
        <v>19316</v>
      </c>
      <c r="AK38" s="3">
        <v>4214</v>
      </c>
      <c r="AL38" s="3">
        <v>0</v>
      </c>
    </row>
    <row r="39" hidden="1" spans="1:39">
      <c r="C39" s="3">
        <f t="shared" si="5"/>
        <v>245079.52</v>
      </c>
      <c r="D39" s="3">
        <v>14145.6</v>
      </c>
      <c r="E39" s="3">
        <v>4809.504</v>
      </c>
      <c r="F39" s="3">
        <v>1697.472</v>
      </c>
      <c r="G39" s="3">
        <v>2923.224</v>
      </c>
      <c r="H39" s="3">
        <v>58397.4</v>
      </c>
      <c r="I39" s="3">
        <v>1461.84</v>
      </c>
      <c r="J39" s="3">
        <v>1461.64</v>
      </c>
      <c r="K39" s="3">
        <v>0</v>
      </c>
      <c r="L39" s="3">
        <v>2990.72</v>
      </c>
      <c r="M39" s="3">
        <v>252</v>
      </c>
      <c r="N39" s="3">
        <v>16</v>
      </c>
      <c r="O39" s="3">
        <v>171</v>
      </c>
      <c r="P39" s="3">
        <v>0</v>
      </c>
      <c r="Q39" s="3">
        <v>8331.12</v>
      </c>
      <c r="R39" s="3">
        <v>357.8</v>
      </c>
      <c r="S39" s="3">
        <v>1789</v>
      </c>
      <c r="T39" s="3">
        <v>58</v>
      </c>
      <c r="U39" s="3">
        <v>2446.6</v>
      </c>
      <c r="V39" s="3">
        <v>1073.4</v>
      </c>
      <c r="W39" s="3">
        <v>1431.2</v>
      </c>
      <c r="X39" s="3">
        <v>16069</v>
      </c>
      <c r="Y39" s="3">
        <v>6089.4</v>
      </c>
      <c r="Z39" s="3">
        <v>24357.6</v>
      </c>
      <c r="AA39" s="3">
        <v>919</v>
      </c>
      <c r="AB39" s="3">
        <v>25785</v>
      </c>
      <c r="AC39" s="3">
        <v>4574</v>
      </c>
      <c r="AD39" s="3">
        <v>3420.99</v>
      </c>
      <c r="AE39" s="3">
        <v>2688.76</v>
      </c>
      <c r="AF39" s="3">
        <v>18331.25</v>
      </c>
      <c r="AG39" s="3">
        <v>7477</v>
      </c>
      <c r="AH39" s="3">
        <v>5610</v>
      </c>
      <c r="AI39" s="3">
        <v>2414</v>
      </c>
      <c r="AJ39" s="3">
        <v>19316</v>
      </c>
      <c r="AK39" s="3">
        <v>4214</v>
      </c>
      <c r="AL39" s="3">
        <v>0</v>
      </c>
      <c r="AM39" s="3">
        <v>0</v>
      </c>
    </row>
    <row r="40" hidden="1" spans="1:39">
      <c r="D40" s="3">
        <v>0.0924244994910078</v>
      </c>
      <c r="E40" s="3">
        <v>0.0924244994910078</v>
      </c>
      <c r="F40" s="3">
        <v>0.0924244994910078</v>
      </c>
      <c r="G40" s="3">
        <v>0.0924308229543819</v>
      </c>
      <c r="H40" s="3">
        <v>0.256018247387726</v>
      </c>
      <c r="I40" s="3">
        <v>0.266869151206698</v>
      </c>
      <c r="J40" s="3">
        <v>0.266905667606251</v>
      </c>
      <c r="K40" s="3" t="e">
        <v>#DIV/0!</v>
      </c>
      <c r="L40" s="3">
        <v>0.270155681575005</v>
      </c>
      <c r="M40" s="3">
        <v>0.412698412698413</v>
      </c>
      <c r="N40" s="3">
        <v>0.625</v>
      </c>
      <c r="O40" s="3">
        <v>0.415204678362573</v>
      </c>
      <c r="P40" s="3" t="e">
        <v>#DIV/0!</v>
      </c>
      <c r="Q40" s="3">
        <v>0.213896810993</v>
      </c>
      <c r="R40" s="3">
        <v>0.0796534376746786</v>
      </c>
      <c r="S40" s="3">
        <v>0.0796534376746786</v>
      </c>
      <c r="T40" s="3">
        <v>0</v>
      </c>
      <c r="U40" s="3">
        <v>0.0815417313823265</v>
      </c>
      <c r="V40" s="3">
        <v>0.0796534376746786</v>
      </c>
      <c r="W40" s="3">
        <v>0.0796534376746786</v>
      </c>
      <c r="X40" s="3">
        <v>0.125956811251478</v>
      </c>
      <c r="Y40" s="3">
        <v>0.131375833415443</v>
      </c>
      <c r="Z40" s="3">
        <v>0.131375833415443</v>
      </c>
      <c r="AA40" s="3">
        <v>0.198041349292709</v>
      </c>
      <c r="AB40" s="3">
        <v>0.0187706030637968</v>
      </c>
      <c r="AC40" s="3">
        <v>0</v>
      </c>
      <c r="AD40" s="3">
        <v>0.382760545923841</v>
      </c>
      <c r="AE40" s="3">
        <v>0.382641068745444</v>
      </c>
      <c r="AF40" s="3">
        <v>0.382666212069553</v>
      </c>
      <c r="AG40" s="3">
        <v>0.13374348000535</v>
      </c>
      <c r="AH40" s="3">
        <v>0</v>
      </c>
      <c r="AI40" s="3">
        <v>0</v>
      </c>
      <c r="AJ40" s="3">
        <v>0</v>
      </c>
      <c r="AK40" s="3">
        <v>0</v>
      </c>
      <c r="AL40" s="3" t="e">
        <v>#DIV/0!</v>
      </c>
    </row>
    <row r="41" hidden="1" spans="1:39"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 t="e">
        <v>#DIV/0!</v>
      </c>
      <c r="L41" s="3">
        <v>0</v>
      </c>
      <c r="M41" s="3">
        <v>0</v>
      </c>
      <c r="N41" s="3">
        <v>0</v>
      </c>
      <c r="O41" s="3">
        <v>0</v>
      </c>
      <c r="P41" s="3" t="e">
        <v>#DIV/0!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 t="e">
        <v>#DIV/0!</v>
      </c>
    </row>
    <row r="42" hidden="1" spans="1:39"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 t="e">
        <v>#DIV/0!</v>
      </c>
      <c r="L42" s="3">
        <v>0</v>
      </c>
      <c r="M42" s="3">
        <v>0</v>
      </c>
      <c r="N42" s="3">
        <v>0</v>
      </c>
      <c r="O42" s="3">
        <v>0</v>
      </c>
      <c r="P42" s="3" t="e">
        <v>#DIV/0!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 t="e">
        <v>#DIV/0!</v>
      </c>
    </row>
    <row r="43" hidden="1" spans="1:39">
      <c r="D43" s="3">
        <v>0.00644723447573804</v>
      </c>
      <c r="E43" s="3">
        <v>0.00644723447573804</v>
      </c>
      <c r="F43" s="3">
        <v>0.00644723447573804</v>
      </c>
      <c r="G43" s="3">
        <v>0.00644767558011292</v>
      </c>
      <c r="H43" s="3">
        <v>0.0083017394610034</v>
      </c>
      <c r="I43" s="3">
        <v>0.00829092103102939</v>
      </c>
      <c r="J43" s="3">
        <v>0.00829205549930215</v>
      </c>
      <c r="K43" s="3" t="e">
        <v>#DIV/0!</v>
      </c>
      <c r="L43" s="3">
        <v>0.00810507168842286</v>
      </c>
      <c r="M43" s="3">
        <v>0</v>
      </c>
      <c r="N43" s="3">
        <v>0</v>
      </c>
      <c r="O43" s="3">
        <v>0</v>
      </c>
      <c r="P43" s="3" t="e">
        <v>#DIV/0!</v>
      </c>
      <c r="Q43" s="3">
        <v>0.00872871834759312</v>
      </c>
      <c r="R43" s="3">
        <v>0.00544997205142538</v>
      </c>
      <c r="S43" s="3">
        <v>0.00544997205142538</v>
      </c>
      <c r="T43" s="3">
        <v>0</v>
      </c>
      <c r="U43" s="3">
        <v>0.00557917109458023</v>
      </c>
      <c r="V43" s="3">
        <v>0.00544997205142538</v>
      </c>
      <c r="W43" s="3">
        <v>0.00544997205142538</v>
      </c>
      <c r="X43" s="3">
        <v>0.0132553363619391</v>
      </c>
      <c r="Y43" s="3">
        <v>0</v>
      </c>
      <c r="Z43" s="3">
        <v>0</v>
      </c>
      <c r="AA43" s="3">
        <v>0</v>
      </c>
      <c r="AB43" s="3">
        <v>0.0217568353694008</v>
      </c>
      <c r="AC43" s="3">
        <v>0.015085264538697</v>
      </c>
      <c r="AD43" s="3">
        <v>0.000876939131654872</v>
      </c>
      <c r="AE43" s="3">
        <v>0.0009818652464333</v>
      </c>
      <c r="AF43" s="3">
        <v>0.000981929764745994</v>
      </c>
      <c r="AG43" s="3">
        <v>0.130667379965227</v>
      </c>
      <c r="AH43" s="3">
        <v>0</v>
      </c>
      <c r="AI43" s="3">
        <v>0</v>
      </c>
      <c r="AJ43" s="3">
        <v>0</v>
      </c>
      <c r="AK43" s="3">
        <v>0</v>
      </c>
      <c r="AL43" s="3" t="e">
        <v>#DIV/0!</v>
      </c>
    </row>
    <row r="44" hidden="1" spans="1:39">
      <c r="D44" s="3">
        <v>0.0841109602986087</v>
      </c>
      <c r="E44" s="3">
        <v>0.0841109602986087</v>
      </c>
      <c r="F44" s="3">
        <v>0.0841109602986088</v>
      </c>
      <c r="G44" s="3">
        <v>0.0841167149694994</v>
      </c>
      <c r="H44" s="3">
        <v>0.108563052464665</v>
      </c>
      <c r="I44" s="3">
        <v>0.1091911563509</v>
      </c>
      <c r="J44" s="3">
        <v>0.109206097260611</v>
      </c>
      <c r="K44" s="3" t="e">
        <v>#DIV/0!</v>
      </c>
      <c r="L44" s="3">
        <v>0.106743526642414</v>
      </c>
      <c r="M44" s="3">
        <v>0.0753968253968254</v>
      </c>
      <c r="N44" s="3">
        <v>0.375</v>
      </c>
      <c r="O44" s="3">
        <v>0.116959064327485</v>
      </c>
      <c r="P44" s="3" t="e">
        <v>#DIV/0!</v>
      </c>
      <c r="Q44" s="3">
        <v>0.114956932561288</v>
      </c>
      <c r="R44" s="3">
        <v>0.0725265511458916</v>
      </c>
      <c r="S44" s="3">
        <v>0.0725265511458916</v>
      </c>
      <c r="T44" s="3">
        <v>0</v>
      </c>
      <c r="U44" s="3">
        <v>0.0742458922586447</v>
      </c>
      <c r="V44" s="3">
        <v>0.0725265511458915</v>
      </c>
      <c r="W44" s="3">
        <v>0.0725265511458916</v>
      </c>
      <c r="X44" s="3">
        <v>0.175182027506379</v>
      </c>
      <c r="Y44" s="3">
        <v>0.2577593851611</v>
      </c>
      <c r="Z44" s="3">
        <v>0.2577593851611</v>
      </c>
      <c r="AA44" s="3">
        <v>0.165397170837867</v>
      </c>
      <c r="AB44" s="3">
        <v>0.287415163854954</v>
      </c>
      <c r="AC44" s="3">
        <v>0.20048097944906</v>
      </c>
      <c r="AD44" s="3">
        <v>0.176709081289334</v>
      </c>
      <c r="AE44" s="3">
        <v>0.176653922254125</v>
      </c>
      <c r="AF44" s="3">
        <v>0.176665530173883</v>
      </c>
      <c r="AG44" s="3">
        <v>0.121706566804868</v>
      </c>
      <c r="AH44" s="3">
        <v>0</v>
      </c>
      <c r="AI44" s="3">
        <v>0</v>
      </c>
      <c r="AJ44" s="3">
        <v>0</v>
      </c>
      <c r="AK44" s="3">
        <v>0</v>
      </c>
      <c r="AL44" s="3" t="e">
        <v>#DIV/0!</v>
      </c>
    </row>
    <row r="45" hidden="1" spans="1:39">
      <c r="D45" s="3">
        <v>0.0500084832032575</v>
      </c>
      <c r="E45" s="3">
        <v>0.0500084832032575</v>
      </c>
      <c r="F45" s="3">
        <v>0.0500084832032576</v>
      </c>
      <c r="G45" s="3">
        <v>0.0500119046641653</v>
      </c>
      <c r="H45" s="3">
        <v>0.00982920472486789</v>
      </c>
      <c r="I45" s="3">
        <v>0.00985059924478739</v>
      </c>
      <c r="J45" s="3">
        <v>0.00985194712788375</v>
      </c>
      <c r="K45" s="3" t="e">
        <v>#DIV/0!</v>
      </c>
      <c r="L45" s="3">
        <v>0.00962978814466082</v>
      </c>
      <c r="M45" s="3">
        <v>0</v>
      </c>
      <c r="N45" s="3">
        <v>0</v>
      </c>
      <c r="O45" s="3">
        <v>0.0116959064327485</v>
      </c>
      <c r="P45" s="3" t="e">
        <v>#DIV/0!</v>
      </c>
      <c r="Q45" s="3">
        <v>0.0103707544723879</v>
      </c>
      <c r="R45" s="3">
        <v>0.00656791503633315</v>
      </c>
      <c r="S45" s="3">
        <v>0.00656791503633315</v>
      </c>
      <c r="T45" s="3">
        <v>0</v>
      </c>
      <c r="U45" s="3">
        <v>0.00672361644731464</v>
      </c>
      <c r="V45" s="3">
        <v>0.00656791503633315</v>
      </c>
      <c r="W45" s="3">
        <v>0.00656791503633315</v>
      </c>
      <c r="X45" s="3">
        <v>0.0157446014064348</v>
      </c>
      <c r="Y45" s="3">
        <v>0</v>
      </c>
      <c r="Z45" s="3">
        <v>0</v>
      </c>
      <c r="AA45" s="3">
        <v>0</v>
      </c>
      <c r="AB45" s="3">
        <v>0.0258677525693232</v>
      </c>
      <c r="AC45" s="3">
        <v>0.0179274158285964</v>
      </c>
      <c r="AD45" s="3">
        <v>0.00114586713202903</v>
      </c>
      <c r="AE45" s="3">
        <v>0.00114550945417218</v>
      </c>
      <c r="AF45" s="3">
        <v>0.00114558472553699</v>
      </c>
      <c r="AG45" s="3">
        <v>0.0216664437608667</v>
      </c>
      <c r="AH45" s="3">
        <v>0</v>
      </c>
      <c r="AI45" s="3">
        <v>0</v>
      </c>
      <c r="AJ45" s="3">
        <v>0</v>
      </c>
      <c r="AK45" s="3">
        <v>0</v>
      </c>
      <c r="AL45" s="3" t="e">
        <v>#DIV/0!</v>
      </c>
    </row>
    <row r="46" hidden="1" spans="1:39">
      <c r="D46" s="3">
        <v>0.0521292840176451</v>
      </c>
      <c r="E46" s="3">
        <v>0.0521292840176451</v>
      </c>
      <c r="F46" s="3">
        <v>0.0521292840176451</v>
      </c>
      <c r="G46" s="3">
        <v>0.0521328505786761</v>
      </c>
      <c r="H46" s="3">
        <v>0.0125793271618257</v>
      </c>
      <c r="I46" s="3">
        <v>0.0126142395884639</v>
      </c>
      <c r="J46" s="3">
        <v>0.0126159656276511</v>
      </c>
      <c r="K46" s="3" t="e">
        <v>#DIV/0!</v>
      </c>
      <c r="L46" s="3">
        <v>0.0123314787074684</v>
      </c>
      <c r="M46" s="3">
        <v>0</v>
      </c>
      <c r="N46" s="3">
        <v>0</v>
      </c>
      <c r="O46" s="3">
        <v>0.0175438596491228</v>
      </c>
      <c r="P46" s="3" t="e">
        <v>#DIV/0!</v>
      </c>
      <c r="Q46" s="3">
        <v>0.0132803272549189</v>
      </c>
      <c r="R46" s="3">
        <v>0.00838457238680827</v>
      </c>
      <c r="S46" s="3">
        <v>0.00838457238680827</v>
      </c>
      <c r="T46" s="3">
        <v>0</v>
      </c>
      <c r="U46" s="3">
        <v>0.00858334014550805</v>
      </c>
      <c r="V46" s="3">
        <v>0.00838457238680827</v>
      </c>
      <c r="W46" s="3">
        <v>0.00838457238680827</v>
      </c>
      <c r="X46" s="3">
        <v>0.0202252784865269</v>
      </c>
      <c r="Y46" s="3">
        <v>0</v>
      </c>
      <c r="Z46" s="3">
        <v>0</v>
      </c>
      <c r="AA46" s="3">
        <v>0</v>
      </c>
      <c r="AB46" s="3">
        <v>0.0331588132635253</v>
      </c>
      <c r="AC46" s="3">
        <v>0.0229558373414954</v>
      </c>
      <c r="AD46" s="3">
        <v>0.00147325774118018</v>
      </c>
      <c r="AE46" s="3">
        <v>0.00147279786964995</v>
      </c>
      <c r="AF46" s="3">
        <v>0.00147289464711899</v>
      </c>
      <c r="AG46" s="3">
        <v>0.0658017921626321</v>
      </c>
      <c r="AH46" s="3">
        <v>0</v>
      </c>
      <c r="AI46" s="3">
        <v>0</v>
      </c>
      <c r="AJ46" s="3">
        <v>0</v>
      </c>
      <c r="AK46" s="3">
        <v>0</v>
      </c>
      <c r="AL46" s="3" t="e">
        <v>#DIV/0!</v>
      </c>
    </row>
    <row r="47" hidden="1" spans="1:39">
      <c r="D47" s="3">
        <v>0.0834747200542925</v>
      </c>
      <c r="E47" s="3">
        <v>0.0834747200542925</v>
      </c>
      <c r="F47" s="3">
        <v>0.0834747200542925</v>
      </c>
      <c r="G47" s="3">
        <v>0.0834804311951462</v>
      </c>
      <c r="H47" s="3">
        <v>0.0801748023028423</v>
      </c>
      <c r="I47" s="3">
        <v>0.0807885951950966</v>
      </c>
      <c r="J47" s="3">
        <v>0.0807996497085466</v>
      </c>
      <c r="K47" s="3" t="e">
        <v>#DIV/0!</v>
      </c>
      <c r="L47" s="3">
        <v>0.0789776374919752</v>
      </c>
      <c r="M47" s="3">
        <v>0.0833333333333333</v>
      </c>
      <c r="N47" s="3">
        <v>0</v>
      </c>
      <c r="O47" s="3">
        <v>0.12280701754386</v>
      </c>
      <c r="P47" s="3" t="e">
        <v>#DIV/0!</v>
      </c>
      <c r="Q47" s="3">
        <v>0.0850545904992366</v>
      </c>
      <c r="R47" s="3">
        <v>0.0536612632755729</v>
      </c>
      <c r="S47" s="3">
        <v>0.0536612632755729</v>
      </c>
      <c r="T47" s="3">
        <v>0</v>
      </c>
      <c r="U47" s="3">
        <v>0.0549333769312515</v>
      </c>
      <c r="V47" s="3">
        <v>0.0536612632755729</v>
      </c>
      <c r="W47" s="3">
        <v>0.0536612632755729</v>
      </c>
      <c r="X47" s="3">
        <v>0.129628477192109</v>
      </c>
      <c r="Y47" s="3">
        <v>0.278122639340493</v>
      </c>
      <c r="Z47" s="3">
        <v>0.278122639340493</v>
      </c>
      <c r="AA47" s="3">
        <v>0.0348204570184984</v>
      </c>
      <c r="AB47" s="3">
        <v>0</v>
      </c>
      <c r="AC47" s="3">
        <v>0.14844774814167</v>
      </c>
      <c r="AD47" s="3">
        <v>0.23404336171693</v>
      </c>
      <c r="AE47" s="3">
        <v>0.233970306014668</v>
      </c>
      <c r="AF47" s="3">
        <v>0.233985680190931</v>
      </c>
      <c r="AG47" s="3">
        <v>0.0736926574829477</v>
      </c>
      <c r="AH47" s="3">
        <v>0</v>
      </c>
      <c r="AI47" s="3">
        <v>0</v>
      </c>
      <c r="AJ47" s="3">
        <v>0</v>
      </c>
      <c r="AK47" s="3">
        <v>0</v>
      </c>
      <c r="AL47" s="3" t="e">
        <v>#DIV/0!</v>
      </c>
    </row>
    <row r="48" hidden="1" spans="1:39">
      <c r="D48" s="3">
        <v>0.0472938581608415</v>
      </c>
      <c r="E48" s="3">
        <v>0.0472938581608415</v>
      </c>
      <c r="F48" s="3">
        <v>0.0472938581608415</v>
      </c>
      <c r="G48" s="3">
        <v>0.0472970938935915</v>
      </c>
      <c r="H48" s="3">
        <v>0.129766051228308</v>
      </c>
      <c r="I48" s="3">
        <v>0.129767963662234</v>
      </c>
      <c r="J48" s="3">
        <v>0.129785720149969</v>
      </c>
      <c r="K48" s="3" t="e">
        <v>#DIV/0!</v>
      </c>
      <c r="L48" s="3">
        <v>0.12685908410015</v>
      </c>
      <c r="M48" s="3">
        <v>0</v>
      </c>
      <c r="N48" s="3">
        <v>0</v>
      </c>
      <c r="O48" s="3">
        <v>0.0584795321637427</v>
      </c>
      <c r="P48" s="3" t="e">
        <v>#DIV/0!</v>
      </c>
      <c r="Q48" s="3">
        <v>0.136620286348054</v>
      </c>
      <c r="R48" s="3">
        <v>0.0406651760760201</v>
      </c>
      <c r="S48" s="3">
        <v>0.0406651760760201</v>
      </c>
      <c r="T48" s="3">
        <v>0</v>
      </c>
      <c r="U48" s="3">
        <v>0.041629199705714</v>
      </c>
      <c r="V48" s="3">
        <v>0.0406651760760201</v>
      </c>
      <c r="W48" s="3">
        <v>0.0406651760760201</v>
      </c>
      <c r="X48" s="3">
        <v>0.0984504325098015</v>
      </c>
      <c r="Y48" s="3">
        <v>0</v>
      </c>
      <c r="Z48" s="3">
        <v>0</v>
      </c>
      <c r="AA48" s="3">
        <v>0</v>
      </c>
      <c r="AB48" s="3">
        <v>0.161528020166764</v>
      </c>
      <c r="AC48" s="3">
        <v>0.112592916484477</v>
      </c>
      <c r="AD48" s="3">
        <v>0.0891320933414012</v>
      </c>
      <c r="AE48" s="3">
        <v>0.089104271113822</v>
      </c>
      <c r="AF48" s="3">
        <v>0.0891101261506989</v>
      </c>
      <c r="AG48" s="3">
        <v>0.0341045874013642</v>
      </c>
      <c r="AH48" s="3">
        <v>0</v>
      </c>
      <c r="AI48" s="3">
        <v>0</v>
      </c>
      <c r="AJ48" s="3">
        <v>0</v>
      </c>
      <c r="AK48" s="3">
        <v>0</v>
      </c>
      <c r="AL48" s="3" t="e">
        <v>#DIV/0!</v>
      </c>
    </row>
    <row r="49" hidden="1" spans="4:38">
      <c r="D49" s="3">
        <v>0.0144214455378351</v>
      </c>
      <c r="E49" s="3">
        <v>0.0144214455378351</v>
      </c>
      <c r="F49" s="3">
        <v>0.0144214455378351</v>
      </c>
      <c r="G49" s="3">
        <v>0.0144224322186736</v>
      </c>
      <c r="H49" s="3">
        <v>0.0187816580875176</v>
      </c>
      <c r="I49" s="3">
        <v>0.018757182728616</v>
      </c>
      <c r="J49" s="3">
        <v>0.0187597493226786</v>
      </c>
      <c r="K49" s="3" t="e">
        <v>#DIV/0!</v>
      </c>
      <c r="L49" s="3">
        <v>0.018336721592125</v>
      </c>
      <c r="M49" s="3">
        <v>0</v>
      </c>
      <c r="N49" s="3">
        <v>0</v>
      </c>
      <c r="O49" s="3">
        <v>0</v>
      </c>
      <c r="P49" s="3" t="e">
        <v>#DIV/0!</v>
      </c>
      <c r="Q49" s="3">
        <v>0.0197476449745052</v>
      </c>
      <c r="R49" s="3">
        <v>0.291922861934041</v>
      </c>
      <c r="S49" s="3">
        <v>0.291922861934041</v>
      </c>
      <c r="T49" s="3">
        <v>0</v>
      </c>
      <c r="U49" s="3">
        <v>0.298843292732772</v>
      </c>
      <c r="V49" s="3">
        <v>0.291922861934041</v>
      </c>
      <c r="W49" s="3">
        <v>0.291922861934041</v>
      </c>
      <c r="X49" s="3">
        <v>0.0300578754122845</v>
      </c>
      <c r="Y49" s="3">
        <v>0</v>
      </c>
      <c r="Z49" s="3">
        <v>0</v>
      </c>
      <c r="AA49" s="3">
        <v>0</v>
      </c>
      <c r="AB49" s="3">
        <v>0.0493310063990692</v>
      </c>
      <c r="AC49" s="3">
        <v>0.0343244425010931</v>
      </c>
      <c r="AD49" s="3">
        <v>0.00225081043791417</v>
      </c>
      <c r="AE49" s="3">
        <v>0.00225010785640965</v>
      </c>
      <c r="AF49" s="3">
        <v>0.00225025571087624</v>
      </c>
      <c r="AG49" s="3">
        <v>0.0288885916811555</v>
      </c>
      <c r="AH49" s="3">
        <v>0</v>
      </c>
      <c r="AI49" s="3">
        <v>0</v>
      </c>
      <c r="AJ49" s="3">
        <v>0</v>
      </c>
      <c r="AK49" s="3">
        <v>0</v>
      </c>
      <c r="AL49" s="3" t="e">
        <v>#DIV/0!</v>
      </c>
    </row>
    <row r="50" hidden="1" spans="4:38">
      <c r="D50" s="3">
        <v>0.440532745164574</v>
      </c>
      <c r="E50" s="3">
        <v>0.440532745164574</v>
      </c>
      <c r="F50" s="3">
        <v>0.440532745164574</v>
      </c>
      <c r="G50" s="3">
        <v>0.440562885362189</v>
      </c>
      <c r="H50" s="3">
        <v>0.157551534828605</v>
      </c>
      <c r="I50" s="3">
        <v>0.145050073879494</v>
      </c>
      <c r="J50" s="3">
        <v>0.145069921458088</v>
      </c>
      <c r="K50" s="3" t="e">
        <v>#DIV/0!</v>
      </c>
      <c r="L50" s="3">
        <v>0.155173336186604</v>
      </c>
      <c r="M50" s="3">
        <v>0.341269841269841</v>
      </c>
      <c r="N50" s="3">
        <v>0</v>
      </c>
      <c r="O50" s="3">
        <v>0.204678362573099</v>
      </c>
      <c r="P50" s="3" t="e">
        <v>#DIV/0!</v>
      </c>
      <c r="Q50" s="3">
        <v>0.167113185262006</v>
      </c>
      <c r="R50" s="3">
        <v>0.087199552822806</v>
      </c>
      <c r="S50" s="3">
        <v>0.087199552822806</v>
      </c>
      <c r="T50" s="3">
        <v>1</v>
      </c>
      <c r="U50" s="3">
        <v>0.0655603694923567</v>
      </c>
      <c r="V50" s="3">
        <v>0.087199552822806</v>
      </c>
      <c r="W50" s="3">
        <v>0.087199552822806</v>
      </c>
      <c r="X50" s="3">
        <v>0.210778517642666</v>
      </c>
      <c r="Y50" s="3">
        <v>0.313561270404309</v>
      </c>
      <c r="Z50" s="3">
        <v>0.313561270404309</v>
      </c>
      <c r="AA50" s="3">
        <v>0.492927094668118</v>
      </c>
      <c r="AB50" s="3">
        <v>0.0743455497382199</v>
      </c>
      <c r="AC50" s="3">
        <v>0.241145605596852</v>
      </c>
      <c r="AD50" s="3">
        <v>0.0982171827453456</v>
      </c>
      <c r="AE50" s="3">
        <v>0.0982683467471995</v>
      </c>
      <c r="AF50" s="3">
        <v>0.0982748039549949</v>
      </c>
      <c r="AG50" s="3">
        <v>0.0684766617627391</v>
      </c>
      <c r="AH50" s="3">
        <v>0</v>
      </c>
      <c r="AI50" s="3">
        <v>0</v>
      </c>
      <c r="AJ50" s="3">
        <v>0</v>
      </c>
      <c r="AK50" s="3">
        <v>0</v>
      </c>
      <c r="AL50" s="3" t="e">
        <v>#DIV/0!</v>
      </c>
    </row>
    <row r="51" hidden="1" spans="4:38">
      <c r="D51" s="3">
        <v>0.0274431625381744</v>
      </c>
      <c r="E51" s="3">
        <v>0.0274431625381744</v>
      </c>
      <c r="F51" s="3">
        <v>0.0274431625381744</v>
      </c>
      <c r="G51" s="3">
        <v>0.0274450401337701</v>
      </c>
      <c r="H51" s="3">
        <v>0.0903704616986373</v>
      </c>
      <c r="I51" s="3">
        <v>0.0904886991736442</v>
      </c>
      <c r="J51" s="3">
        <v>0.0903642483785337</v>
      </c>
      <c r="K51" s="3" t="e">
        <v>#DIV/0!</v>
      </c>
      <c r="L51" s="3">
        <v>0.0883265568157501</v>
      </c>
      <c r="M51" s="3">
        <v>0.0238095238095238</v>
      </c>
      <c r="N51" s="3">
        <v>0</v>
      </c>
      <c r="O51" s="3">
        <v>0</v>
      </c>
      <c r="P51" s="3" t="e">
        <v>#DIV/0!</v>
      </c>
      <c r="Q51" s="3">
        <v>0.0951228646328465</v>
      </c>
      <c r="R51" s="3">
        <v>0.0236165455561766</v>
      </c>
      <c r="S51" s="3">
        <v>0.0236165455561766</v>
      </c>
      <c r="T51" s="3">
        <v>0</v>
      </c>
      <c r="U51" s="3">
        <v>0.0241764080765143</v>
      </c>
      <c r="V51" s="3">
        <v>0.0236165455561766</v>
      </c>
      <c r="W51" s="3">
        <v>0.0236165455561766</v>
      </c>
      <c r="X51" s="3">
        <v>0.0571286327711743</v>
      </c>
      <c r="Y51" s="3">
        <v>0</v>
      </c>
      <c r="Z51" s="3">
        <v>0</v>
      </c>
      <c r="AA51" s="3">
        <v>0</v>
      </c>
      <c r="AB51" s="3">
        <v>0.0937366686057785</v>
      </c>
      <c r="AC51" s="3">
        <v>0.0653694796676869</v>
      </c>
      <c r="AD51" s="3">
        <v>0.00425607791896498</v>
      </c>
      <c r="AE51" s="3">
        <v>0.00425474940121097</v>
      </c>
      <c r="AF51" s="3">
        <v>0.00425502898056597</v>
      </c>
      <c r="AG51" s="3">
        <v>0.0282198742811288</v>
      </c>
      <c r="AH51" s="3">
        <v>0</v>
      </c>
      <c r="AI51" s="3">
        <v>0</v>
      </c>
      <c r="AJ51" s="3">
        <v>0</v>
      </c>
      <c r="AK51" s="3">
        <v>0</v>
      </c>
      <c r="AL51" s="3" t="e">
        <v>#DIV/0!</v>
      </c>
    </row>
    <row r="52" hidden="1" spans="4:38">
      <c r="D52" s="3">
        <v>0.00708347472005429</v>
      </c>
      <c r="E52" s="3">
        <v>0.00708347472005429</v>
      </c>
      <c r="F52" s="3">
        <v>0.00708347472005429</v>
      </c>
      <c r="G52" s="3">
        <v>0.00708395935446616</v>
      </c>
      <c r="H52" s="3">
        <v>0.00924698702339488</v>
      </c>
      <c r="I52" s="3">
        <v>0.00923493679198818</v>
      </c>
      <c r="J52" s="3">
        <v>0.00923620043239101</v>
      </c>
      <c r="K52" s="3" t="e">
        <v>#DIV/0!</v>
      </c>
      <c r="L52" s="3">
        <v>0.00902792638561952</v>
      </c>
      <c r="M52" s="3">
        <v>0</v>
      </c>
      <c r="N52" s="3">
        <v>0</v>
      </c>
      <c r="O52" s="3">
        <v>0</v>
      </c>
      <c r="P52" s="3" t="e">
        <v>#DIV/0!</v>
      </c>
      <c r="Q52" s="3">
        <v>0.00972258231786362</v>
      </c>
      <c r="R52" s="3">
        <v>0.14575181665735</v>
      </c>
      <c r="S52" s="3">
        <v>0.14575181665735</v>
      </c>
      <c r="T52" s="3">
        <v>0</v>
      </c>
      <c r="U52" s="3">
        <v>0.149207062862748</v>
      </c>
      <c r="V52" s="3">
        <v>0.14575181665735</v>
      </c>
      <c r="W52" s="3">
        <v>0.14575181665735</v>
      </c>
      <c r="X52" s="3">
        <v>0.0148111270147489</v>
      </c>
      <c r="Y52" s="3">
        <v>0</v>
      </c>
      <c r="Z52" s="3">
        <v>0</v>
      </c>
      <c r="AA52" s="3">
        <v>0</v>
      </c>
      <c r="AB52" s="3">
        <v>0.0242388985844483</v>
      </c>
      <c r="AC52" s="3">
        <v>0.0168342807170966</v>
      </c>
      <c r="AD52" s="3">
        <v>0.00110494330588514</v>
      </c>
      <c r="AE52" s="3">
        <v>0.00110459840223746</v>
      </c>
      <c r="AF52" s="3">
        <v>0.00110467098533924</v>
      </c>
      <c r="AG52" s="3">
        <v>0.0121706566804868</v>
      </c>
      <c r="AH52" s="3">
        <v>0</v>
      </c>
      <c r="AI52" s="3">
        <v>0</v>
      </c>
      <c r="AJ52" s="3">
        <v>0</v>
      </c>
      <c r="AK52" s="3">
        <v>0</v>
      </c>
      <c r="AL52" s="3" t="e">
        <v>#DIV/0!</v>
      </c>
    </row>
    <row r="53" hidden="1" spans="4:38">
      <c r="D53" s="3">
        <v>0.0147183576518493</v>
      </c>
      <c r="E53" s="3">
        <v>0.0147183576518493</v>
      </c>
      <c r="F53" s="3">
        <v>0.0147183576518493</v>
      </c>
      <c r="G53" s="3">
        <v>0.0147193646467051</v>
      </c>
      <c r="H53" s="3">
        <v>0.046382201947347</v>
      </c>
      <c r="I53" s="3">
        <v>0.0464756744924205</v>
      </c>
      <c r="J53" s="3">
        <v>0.0464820338797515</v>
      </c>
      <c r="K53" s="3" t="e">
        <v>#DIV/0!</v>
      </c>
      <c r="L53" s="3">
        <v>0.04543387545474</v>
      </c>
      <c r="M53" s="3">
        <v>0</v>
      </c>
      <c r="N53" s="3">
        <v>0</v>
      </c>
      <c r="O53" s="3">
        <v>0.0526315789473684</v>
      </c>
      <c r="P53" s="3" t="e">
        <v>#DIV/0!</v>
      </c>
      <c r="Q53" s="3">
        <v>0.0489297957537522</v>
      </c>
      <c r="R53" s="3">
        <v>0.0127166014533259</v>
      </c>
      <c r="S53" s="3">
        <v>0.0127166014533259</v>
      </c>
      <c r="T53" s="3">
        <v>0</v>
      </c>
      <c r="U53" s="3">
        <v>0.0130180658873539</v>
      </c>
      <c r="V53" s="3">
        <v>0.0127166014533259</v>
      </c>
      <c r="W53" s="3">
        <v>0.0127166014533259</v>
      </c>
      <c r="X53" s="3">
        <v>0.0306801916734084</v>
      </c>
      <c r="Y53" s="3">
        <v>0</v>
      </c>
      <c r="Z53" s="3">
        <v>0</v>
      </c>
      <c r="AA53" s="3">
        <v>0</v>
      </c>
      <c r="AB53" s="3">
        <v>0.0503005623424472</v>
      </c>
      <c r="AC53" s="3">
        <v>0.035198950590293</v>
      </c>
      <c r="AD53" s="3">
        <v>0.00229173426405807</v>
      </c>
      <c r="AE53" s="3">
        <v>0.00229101890834437</v>
      </c>
      <c r="AF53" s="3">
        <v>0.00229116945107399</v>
      </c>
      <c r="AG53" s="3">
        <v>0.0345058178413802</v>
      </c>
      <c r="AH53" s="3">
        <v>0</v>
      </c>
      <c r="AI53" s="3">
        <v>0</v>
      </c>
      <c r="AJ53" s="3">
        <v>0</v>
      </c>
      <c r="AK53" s="3">
        <v>0</v>
      </c>
      <c r="AL53" s="3" t="e">
        <v>#DIV/0!</v>
      </c>
    </row>
    <row r="54" hidden="1" spans="4:38">
      <c r="D54" s="3">
        <v>0.00602307431286054</v>
      </c>
      <c r="E54" s="3">
        <v>0.00602307431286054</v>
      </c>
      <c r="F54" s="3">
        <v>0.00602307431286054</v>
      </c>
      <c r="G54" s="3">
        <v>0.00602348639721075</v>
      </c>
      <c r="H54" s="3">
        <v>0.00786336377989431</v>
      </c>
      <c r="I54" s="3">
        <v>0.00785311662014995</v>
      </c>
      <c r="J54" s="3">
        <v>0.00785419118250732</v>
      </c>
      <c r="K54" s="3" t="e">
        <v>#DIV/0!</v>
      </c>
      <c r="L54" s="3">
        <v>0.00758345816392039</v>
      </c>
      <c r="M54" s="3">
        <v>0</v>
      </c>
      <c r="N54" s="3">
        <v>0</v>
      </c>
      <c r="O54" s="3">
        <v>0</v>
      </c>
      <c r="P54" s="3" t="e">
        <v>#DIV/0!</v>
      </c>
      <c r="Q54" s="3">
        <v>0.0082677959265981</v>
      </c>
      <c r="R54" s="3">
        <v>0.00517048630519844</v>
      </c>
      <c r="S54" s="3">
        <v>0.00517048630519844</v>
      </c>
      <c r="T54" s="3">
        <v>0</v>
      </c>
      <c r="U54" s="3">
        <v>0.00529305975639663</v>
      </c>
      <c r="V54" s="3">
        <v>0.00517048630519843</v>
      </c>
      <c r="W54" s="3">
        <v>0.00517048630519844</v>
      </c>
      <c r="X54" s="3">
        <v>0.0125707884747028</v>
      </c>
      <c r="Y54" s="3">
        <v>0</v>
      </c>
      <c r="Z54" s="3">
        <v>0</v>
      </c>
      <c r="AA54" s="3">
        <v>0.108813928182807</v>
      </c>
      <c r="AB54" s="3">
        <v>0.0516579406631763</v>
      </c>
      <c r="AC54" s="3">
        <v>0.0144293834717971</v>
      </c>
      <c r="AD54" s="3">
        <v>0.000941248001309563</v>
      </c>
      <c r="AE54" s="3">
        <v>0.00097814605989378</v>
      </c>
      <c r="AF54" s="3">
        <v>0.000927378111148994</v>
      </c>
      <c r="AG54" s="3">
        <v>0.00320984352012839</v>
      </c>
      <c r="AH54" s="3">
        <v>0</v>
      </c>
      <c r="AI54" s="3">
        <v>0</v>
      </c>
      <c r="AJ54" s="3">
        <v>0</v>
      </c>
      <c r="AK54" s="3">
        <v>0</v>
      </c>
      <c r="AL54" s="3" t="e">
        <v>#DIV/0!</v>
      </c>
    </row>
    <row r="55" hidden="1" spans="4:38"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 t="e">
        <v>#DIV/0!</v>
      </c>
      <c r="L55" s="3">
        <v>0</v>
      </c>
      <c r="M55" s="3">
        <v>0</v>
      </c>
      <c r="N55" s="3">
        <v>0</v>
      </c>
      <c r="O55" s="3">
        <v>0</v>
      </c>
      <c r="P55" s="3" t="e">
        <v>#DIV/0!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0.000387822377351173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 t="e">
        <v>#DIV/0!</v>
      </c>
    </row>
    <row r="56" hidden="1" spans="4:38"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 t="e">
        <v>#DIV/0!</v>
      </c>
      <c r="L56" s="3">
        <v>0</v>
      </c>
      <c r="M56" s="3">
        <v>0</v>
      </c>
      <c r="N56" s="3">
        <v>0</v>
      </c>
      <c r="O56" s="3">
        <v>0</v>
      </c>
      <c r="P56" s="3" t="e">
        <v>#DIV/0!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 t="e">
        <v>#DIV/0!</v>
      </c>
    </row>
    <row r="57" hidden="1" spans="4:38">
      <c r="D57" s="3">
        <v>0.000254496097726502</v>
      </c>
      <c r="E57" s="3">
        <v>0.000254496097726502</v>
      </c>
      <c r="F57" s="3">
        <v>0.000254496097726502</v>
      </c>
      <c r="G57" s="3">
        <v>0.000254513509741299</v>
      </c>
      <c r="H57" s="3">
        <v>0.000328781760831818</v>
      </c>
      <c r="I57" s="3">
        <v>0.00032835330815958</v>
      </c>
      <c r="J57" s="3">
        <v>0.000328398237596125</v>
      </c>
      <c r="K57" s="3" t="e">
        <v>#DIV/0!</v>
      </c>
      <c r="L57" s="3">
        <v>0.000320992938155361</v>
      </c>
      <c r="M57" s="3">
        <v>0</v>
      </c>
      <c r="N57" s="3">
        <v>0</v>
      </c>
      <c r="O57" s="3">
        <v>0</v>
      </c>
      <c r="P57" s="3" t="e">
        <v>#DIV/0!</v>
      </c>
      <c r="Q57" s="3">
        <v>0.000345691815746262</v>
      </c>
      <c r="R57" s="3">
        <v>0.000139742873113471</v>
      </c>
      <c r="S57" s="3">
        <v>0.000139742873113471</v>
      </c>
      <c r="T57" s="3">
        <v>0</v>
      </c>
      <c r="U57" s="3">
        <v>0.000143055669091801</v>
      </c>
      <c r="V57" s="3">
        <v>0.000139742873113471</v>
      </c>
      <c r="W57" s="3">
        <v>0.000139742873113471</v>
      </c>
      <c r="X57" s="3">
        <v>0.000497853008899123</v>
      </c>
      <c r="Y57" s="3">
        <v>0</v>
      </c>
      <c r="Z57" s="3">
        <v>0</v>
      </c>
      <c r="AA57" s="3">
        <v>0</v>
      </c>
      <c r="AB57" s="3">
        <v>0.000814426992437464</v>
      </c>
      <c r="AC57" s="3">
        <v>0.000655881066899869</v>
      </c>
      <c r="AD57" s="3">
        <v>4.0923826143894e-5</v>
      </c>
      <c r="AE57" s="3">
        <v>4.09110519347208e-5</v>
      </c>
      <c r="AF57" s="3">
        <v>4.09137401977497e-5</v>
      </c>
      <c r="AG57" s="3">
        <v>0.00347733048013909</v>
      </c>
      <c r="AH57" s="3">
        <v>0</v>
      </c>
      <c r="AI57" s="3">
        <v>0</v>
      </c>
      <c r="AJ57" s="3">
        <v>0</v>
      </c>
      <c r="AK57" s="3">
        <v>0</v>
      </c>
      <c r="AL57" s="3" t="e">
        <v>#DIV/0!</v>
      </c>
    </row>
    <row r="58" hidden="1" spans="4:38">
      <c r="D58" s="3">
        <v>0.0657448252460129</v>
      </c>
      <c r="E58" s="3">
        <v>0.0657448252460129</v>
      </c>
      <c r="F58" s="3">
        <v>0.0657448252460129</v>
      </c>
      <c r="G58" s="3">
        <v>0.0657493233498357</v>
      </c>
      <c r="H58" s="3">
        <v>0.0357550164904602</v>
      </c>
      <c r="I58" s="3">
        <v>0.0359820500191539</v>
      </c>
      <c r="J58" s="3">
        <v>0.0359869735365754</v>
      </c>
      <c r="K58" s="3" t="e">
        <v>#DIV/0!</v>
      </c>
      <c r="L58" s="3">
        <v>0.0351754761395249</v>
      </c>
      <c r="M58" s="3">
        <v>0.0634920634920635</v>
      </c>
      <c r="N58" s="3">
        <v>0</v>
      </c>
      <c r="O58" s="3">
        <v>0</v>
      </c>
      <c r="P58" s="3" t="e">
        <v>#DIV/0!</v>
      </c>
      <c r="Q58" s="3">
        <v>0.0378820614755279</v>
      </c>
      <c r="R58" s="3">
        <v>0.159865846841811</v>
      </c>
      <c r="S58" s="3">
        <v>0.159865846841811</v>
      </c>
      <c r="T58" s="3">
        <v>0</v>
      </c>
      <c r="U58" s="3">
        <v>0.16365568544102</v>
      </c>
      <c r="V58" s="3">
        <v>0.159865846841811</v>
      </c>
      <c r="W58" s="3">
        <v>0.159865846841811</v>
      </c>
      <c r="X58" s="3">
        <v>0.0485406683676644</v>
      </c>
      <c r="Y58" s="3">
        <v>0.0191808716786547</v>
      </c>
      <c r="Z58" s="3">
        <v>0.0191808716786547</v>
      </c>
      <c r="AA58" s="3">
        <v>0</v>
      </c>
      <c r="AB58" s="3">
        <v>0.0796974985456661</v>
      </c>
      <c r="AC58" s="3">
        <v>0.0555312636641889</v>
      </c>
      <c r="AD58" s="3">
        <v>0.00350775652661949</v>
      </c>
      <c r="AE58" s="3">
        <v>0.00360017257025543</v>
      </c>
      <c r="AF58" s="3">
        <v>0.00360040913740198</v>
      </c>
      <c r="AG58" s="3">
        <v>0.0775712184031029</v>
      </c>
      <c r="AH58" s="3">
        <v>0</v>
      </c>
      <c r="AI58" s="3">
        <v>0</v>
      </c>
      <c r="AJ58" s="3">
        <v>0</v>
      </c>
      <c r="AK58" s="3">
        <v>0</v>
      </c>
      <c r="AL58" s="3" t="e">
        <v>#DIV/0!</v>
      </c>
    </row>
    <row r="59" hidden="1" spans="4:38"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 t="e">
        <v>#DIV/0!</v>
      </c>
      <c r="L59" s="3">
        <v>0</v>
      </c>
      <c r="M59" s="3">
        <v>0</v>
      </c>
      <c r="N59" s="3">
        <v>0</v>
      </c>
      <c r="O59" s="3">
        <v>0</v>
      </c>
      <c r="P59" s="3" t="e">
        <v>#DIV/0!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 t="e">
        <v>#DIV/0!</v>
      </c>
    </row>
    <row r="60" hidden="1" spans="4:38">
      <c r="D60" s="3">
        <v>0.00699864268747879</v>
      </c>
      <c r="E60" s="3">
        <v>0.00699864268747879</v>
      </c>
      <c r="F60" s="3">
        <v>0.00699864268747879</v>
      </c>
      <c r="G60" s="3">
        <v>0.00699912151788573</v>
      </c>
      <c r="H60" s="3">
        <v>0.00913739310311761</v>
      </c>
      <c r="I60" s="3">
        <v>0.00912548568926832</v>
      </c>
      <c r="J60" s="3">
        <v>0.0091267343531923</v>
      </c>
      <c r="K60" s="3" t="e">
        <v>#DIV/0!</v>
      </c>
      <c r="L60" s="3">
        <v>0.00892092873956773</v>
      </c>
      <c r="M60" s="3">
        <v>0</v>
      </c>
      <c r="N60" s="3">
        <v>0</v>
      </c>
      <c r="O60" s="3">
        <v>0</v>
      </c>
      <c r="P60" s="3" t="e">
        <v>#DIV/0!</v>
      </c>
      <c r="Q60" s="3">
        <v>0.00960735171261487</v>
      </c>
      <c r="R60" s="3">
        <v>0.00600894354387926</v>
      </c>
      <c r="S60" s="3">
        <v>0.00600894354387926</v>
      </c>
      <c r="T60" s="3">
        <v>0</v>
      </c>
      <c r="U60" s="3">
        <v>0.00615139377094744</v>
      </c>
      <c r="V60" s="3">
        <v>0.00600894354387926</v>
      </c>
      <c r="W60" s="3">
        <v>0.00600894354387926</v>
      </c>
      <c r="X60" s="3">
        <v>0.0146244321364117</v>
      </c>
      <c r="Y60" s="3">
        <v>0</v>
      </c>
      <c r="Z60" s="3">
        <v>0</v>
      </c>
      <c r="AA60" s="3">
        <v>0</v>
      </c>
      <c r="AB60" s="3">
        <v>0.0239674229203025</v>
      </c>
      <c r="AC60" s="3">
        <v>0.0168342807170966</v>
      </c>
      <c r="AD60" s="3">
        <v>0.00112540521895709</v>
      </c>
      <c r="AE60" s="3">
        <v>0.00111947514839554</v>
      </c>
      <c r="AF60" s="3">
        <v>0.00106375724514149</v>
      </c>
      <c r="AG60" s="3">
        <v>0.144041727965762</v>
      </c>
      <c r="AH60" s="3">
        <v>0</v>
      </c>
      <c r="AI60" s="3">
        <v>0</v>
      </c>
      <c r="AJ60" s="3">
        <v>0</v>
      </c>
      <c r="AK60" s="3">
        <v>0</v>
      </c>
      <c r="AL60" s="3" t="e">
        <v>#DIV/0!</v>
      </c>
    </row>
    <row r="61" hidden="1" spans="4:38"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 t="e">
        <v>#DIV/0!</v>
      </c>
      <c r="L61" s="3">
        <v>0</v>
      </c>
      <c r="M61" s="3">
        <v>0</v>
      </c>
      <c r="N61" s="3">
        <v>0</v>
      </c>
      <c r="O61" s="3">
        <v>0</v>
      </c>
      <c r="P61" s="3" t="e">
        <v>#DIV/0!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0.522069292833412</v>
      </c>
      <c r="AL61" s="3" t="e">
        <v>#DIV/0!</v>
      </c>
    </row>
    <row r="62" hidden="1" spans="4:38">
      <c r="D62" s="3">
        <v>0.000890736342042755</v>
      </c>
      <c r="E62" s="3">
        <v>0.000890736342042755</v>
      </c>
      <c r="F62" s="3">
        <v>0.000890736342042755</v>
      </c>
      <c r="G62" s="3">
        <v>0.000822379673949037</v>
      </c>
      <c r="H62" s="3">
        <v>0.0193501765489559</v>
      </c>
      <c r="I62" s="3">
        <v>0.0193318010178953</v>
      </c>
      <c r="J62" s="3">
        <v>0.0193344462384719</v>
      </c>
      <c r="K62" s="3" t="e">
        <v>#DIV/0!</v>
      </c>
      <c r="L62" s="3">
        <v>0.0188984592338969</v>
      </c>
      <c r="M62" s="3">
        <v>0</v>
      </c>
      <c r="N62" s="3">
        <v>0</v>
      </c>
      <c r="O62" s="3">
        <v>0</v>
      </c>
      <c r="P62" s="3" t="e">
        <v>#DIV/0!</v>
      </c>
      <c r="Q62" s="3">
        <v>0.0203526056520612</v>
      </c>
      <c r="R62" s="3">
        <v>0.000698714365567356</v>
      </c>
      <c r="S62" s="3">
        <v>0.000698714365567356</v>
      </c>
      <c r="T62" s="3">
        <v>0</v>
      </c>
      <c r="U62" s="3">
        <v>0.000715278345459004</v>
      </c>
      <c r="V62" s="3">
        <v>0.000698714365567356</v>
      </c>
      <c r="W62" s="3">
        <v>0.000698714365567356</v>
      </c>
      <c r="X62" s="3">
        <v>0.00186694878337171</v>
      </c>
      <c r="Y62" s="3">
        <v>0</v>
      </c>
      <c r="Z62" s="3">
        <v>0</v>
      </c>
      <c r="AA62" s="3">
        <v>0</v>
      </c>
      <c r="AB62" s="3">
        <v>0.00302501454333915</v>
      </c>
      <c r="AC62" s="3">
        <v>0.00218627022299956</v>
      </c>
      <c r="AD62" s="3">
        <v>0.000122771478431682</v>
      </c>
      <c r="AE62" s="3">
        <v>0.000122733155804163</v>
      </c>
      <c r="AF62" s="3">
        <v>0.000163654960790999</v>
      </c>
      <c r="AG62" s="3">
        <v>0.0180553698007222</v>
      </c>
      <c r="AH62" s="3">
        <v>0</v>
      </c>
      <c r="AI62" s="3">
        <v>0</v>
      </c>
      <c r="AJ62" s="3">
        <v>0</v>
      </c>
      <c r="AK62" s="3">
        <v>0.477930707166588</v>
      </c>
      <c r="AL62" s="3" t="e">
        <v>#DIV/0!</v>
      </c>
    </row>
    <row r="63" hidden="1" spans="4:38"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 t="e">
        <v>#DIV/0!</v>
      </c>
      <c r="L63" s="3">
        <v>0</v>
      </c>
      <c r="M63" s="3">
        <v>0</v>
      </c>
      <c r="N63" s="3">
        <v>0</v>
      </c>
      <c r="O63" s="3">
        <v>0</v>
      </c>
      <c r="P63" s="3" t="e">
        <v>#DIV/0!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1</v>
      </c>
      <c r="AI63" s="3">
        <v>0</v>
      </c>
      <c r="AJ63" s="3">
        <v>0</v>
      </c>
      <c r="AK63" s="3">
        <v>0</v>
      </c>
      <c r="AL63" s="3" t="e">
        <v>#DIV/0!</v>
      </c>
    </row>
    <row r="64" hidden="1" spans="4:38"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 t="e">
        <v>#DIV/0!</v>
      </c>
      <c r="L64" s="3">
        <v>0</v>
      </c>
      <c r="M64" s="3">
        <v>0</v>
      </c>
      <c r="N64" s="3">
        <v>0</v>
      </c>
      <c r="O64" s="3">
        <v>0</v>
      </c>
      <c r="P64" s="3" t="e">
        <v>#DIV/0!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 t="e">
        <v>#DIV/0!</v>
      </c>
    </row>
    <row r="65" hidden="1" spans="3:38"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 t="e">
        <v>#DIV/0!</v>
      </c>
      <c r="L65" s="3">
        <v>0</v>
      </c>
      <c r="M65" s="3">
        <v>0</v>
      </c>
      <c r="N65" s="3">
        <v>0</v>
      </c>
      <c r="O65" s="3">
        <v>0</v>
      </c>
      <c r="P65" s="3" t="e">
        <v>#DIV/0!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1</v>
      </c>
      <c r="AK65" s="3">
        <v>0</v>
      </c>
      <c r="AL65" s="3" t="e">
        <v>#DIV/0!</v>
      </c>
    </row>
    <row r="66" hidden="1" spans="3:38"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 t="e">
        <v>#DIV/0!</v>
      </c>
      <c r="L66" s="3">
        <v>0</v>
      </c>
      <c r="M66" s="3">
        <v>0</v>
      </c>
      <c r="N66" s="3">
        <v>0</v>
      </c>
      <c r="O66" s="3">
        <v>0</v>
      </c>
      <c r="P66" s="3" t="e">
        <v>#DIV/0!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1</v>
      </c>
      <c r="AJ66" s="3">
        <v>0</v>
      </c>
      <c r="AK66" s="3">
        <v>0</v>
      </c>
      <c r="AL66" s="3" t="e">
        <v>#DIV/0!</v>
      </c>
    </row>
    <row r="67" hidden="1" spans="3:38"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 t="e">
        <v>#DIV/0!</v>
      </c>
      <c r="L67" s="3">
        <v>0</v>
      </c>
      <c r="M67" s="3">
        <v>0</v>
      </c>
      <c r="N67" s="3">
        <v>0</v>
      </c>
      <c r="O67" s="3">
        <v>0</v>
      </c>
      <c r="P67" s="3" t="e">
        <v>#DIV/0!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 t="e">
        <v>#DIV/0!</v>
      </c>
    </row>
    <row r="68" hidden="1" spans="3:38">
      <c r="D68" s="3">
        <v>1</v>
      </c>
      <c r="E68" s="3">
        <v>1</v>
      </c>
      <c r="F68" s="3">
        <v>1</v>
      </c>
      <c r="G68" s="3">
        <v>1</v>
      </c>
      <c r="H68" s="3">
        <v>1</v>
      </c>
      <c r="I68" s="3">
        <v>1</v>
      </c>
      <c r="J68" s="3">
        <v>1</v>
      </c>
      <c r="K68" s="3" t="e">
        <v>#DIV/0!</v>
      </c>
      <c r="L68" s="3">
        <v>1</v>
      </c>
      <c r="M68" s="3">
        <v>1</v>
      </c>
      <c r="N68" s="3">
        <v>1</v>
      </c>
      <c r="O68" s="3">
        <v>1</v>
      </c>
      <c r="P68" s="3" t="e">
        <v>#DIV/0!</v>
      </c>
      <c r="Q68" s="3">
        <v>1</v>
      </c>
      <c r="R68" s="3">
        <v>1</v>
      </c>
      <c r="S68" s="3">
        <v>1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>
        <v>1</v>
      </c>
      <c r="AE68" s="3">
        <v>1</v>
      </c>
      <c r="AF68" s="3">
        <v>1</v>
      </c>
      <c r="AG68" s="3">
        <v>1</v>
      </c>
      <c r="AH68" s="3">
        <v>1</v>
      </c>
      <c r="AI68" s="3">
        <v>1</v>
      </c>
      <c r="AJ68" s="3">
        <v>1</v>
      </c>
      <c r="AK68" s="3">
        <v>1</v>
      </c>
      <c r="AL68" s="3" t="e">
        <v>#DIV/0!</v>
      </c>
    </row>
    <row r="69" hidden="1" spans="3:38"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</row>
    <row r="70" hidden="1"/>
    <row r="71" hidden="1"/>
    <row r="72" spans="3:38">
      <c r="C72" s="3" t="s">
        <v>131</v>
      </c>
      <c r="D72" s="3">
        <v>11289</v>
      </c>
      <c r="E72" s="3">
        <v>2465</v>
      </c>
      <c r="F72" s="3">
        <v>1311</v>
      </c>
      <c r="G72" s="3">
        <v>5745</v>
      </c>
      <c r="H72" s="3">
        <v>10975</v>
      </c>
      <c r="J72" s="3">
        <v>15</v>
      </c>
      <c r="L72" s="3">
        <v>2518</v>
      </c>
      <c r="P72" s="3">
        <v>11</v>
      </c>
      <c r="Q72" s="3">
        <v>1583</v>
      </c>
    </row>
    <row r="73" spans="3:38">
      <c r="H73" s="3">
        <f t="shared" ref="H73:H93" si="11">ROUND(H7*0.6,0)</f>
        <v>4352</v>
      </c>
      <c r="L73" s="3">
        <f t="shared" ref="L73:L93" si="12">ROUND(H7*0.25,0)</f>
        <v>1814</v>
      </c>
      <c r="Q73" s="3">
        <f t="shared" ref="Q73:Q93" si="13">ROUND(H7*0.15,0)</f>
        <v>1088</v>
      </c>
    </row>
    <row r="74" spans="3:38">
      <c r="H74" s="3">
        <f t="shared" si="11"/>
        <v>0</v>
      </c>
      <c r="L74" s="3">
        <f t="shared" si="12"/>
        <v>0</v>
      </c>
      <c r="Q74" s="3">
        <f t="shared" si="13"/>
        <v>0</v>
      </c>
    </row>
    <row r="75" spans="3:38">
      <c r="H75" s="3">
        <f t="shared" si="11"/>
        <v>17</v>
      </c>
      <c r="L75" s="3">
        <f t="shared" si="12"/>
        <v>7</v>
      </c>
      <c r="Q75" s="3">
        <f t="shared" si="13"/>
        <v>4</v>
      </c>
    </row>
    <row r="76" spans="3:38">
      <c r="H76" s="3">
        <f t="shared" si="11"/>
        <v>76</v>
      </c>
      <c r="L76" s="3">
        <f t="shared" si="12"/>
        <v>32</v>
      </c>
      <c r="Q76" s="3">
        <f t="shared" si="13"/>
        <v>19</v>
      </c>
    </row>
    <row r="77" spans="3:38">
      <c r="H77" s="3">
        <f t="shared" si="11"/>
        <v>4008</v>
      </c>
      <c r="L77" s="3">
        <f t="shared" si="12"/>
        <v>1670</v>
      </c>
      <c r="Q77" s="3">
        <f t="shared" si="13"/>
        <v>1002</v>
      </c>
    </row>
    <row r="78" spans="3:38">
      <c r="H78" s="3">
        <f t="shared" si="11"/>
        <v>123</v>
      </c>
      <c r="L78" s="3">
        <f t="shared" si="12"/>
        <v>51</v>
      </c>
      <c r="Q78" s="3">
        <f t="shared" si="13"/>
        <v>31</v>
      </c>
    </row>
    <row r="79" spans="3:38">
      <c r="H79" s="3">
        <f t="shared" si="11"/>
        <v>231</v>
      </c>
      <c r="L79" s="3">
        <f t="shared" si="12"/>
        <v>96</v>
      </c>
      <c r="Q79" s="3">
        <f t="shared" si="13"/>
        <v>58</v>
      </c>
    </row>
    <row r="80" spans="3:38">
      <c r="H80" s="3">
        <f t="shared" si="11"/>
        <v>2589</v>
      </c>
      <c r="L80" s="3">
        <f t="shared" si="12"/>
        <v>1079</v>
      </c>
      <c r="Q80" s="3">
        <f t="shared" si="13"/>
        <v>647</v>
      </c>
    </row>
    <row r="81" spans="8:17">
      <c r="H81" s="3">
        <f t="shared" si="11"/>
        <v>3612</v>
      </c>
      <c r="L81" s="3">
        <f t="shared" si="12"/>
        <v>1505</v>
      </c>
      <c r="Q81" s="3">
        <f t="shared" si="13"/>
        <v>903</v>
      </c>
    </row>
    <row r="82" spans="8:17">
      <c r="H82" s="3">
        <f t="shared" si="11"/>
        <v>138</v>
      </c>
      <c r="L82" s="3">
        <f t="shared" si="12"/>
        <v>58</v>
      </c>
      <c r="Q82" s="3">
        <f t="shared" si="13"/>
        <v>35</v>
      </c>
    </row>
    <row r="83" spans="8:17">
      <c r="H83" s="3">
        <f t="shared" si="11"/>
        <v>3068</v>
      </c>
      <c r="L83" s="3">
        <f t="shared" si="12"/>
        <v>1279</v>
      </c>
      <c r="Q83" s="3">
        <f t="shared" si="13"/>
        <v>767</v>
      </c>
    </row>
    <row r="84" spans="8:17">
      <c r="H84" s="3">
        <f t="shared" si="11"/>
        <v>1780</v>
      </c>
      <c r="L84" s="3">
        <f t="shared" si="12"/>
        <v>742</v>
      </c>
      <c r="Q84" s="3">
        <f t="shared" si="13"/>
        <v>445</v>
      </c>
    </row>
    <row r="85" spans="8:17">
      <c r="H85" s="3">
        <f t="shared" si="11"/>
        <v>632</v>
      </c>
      <c r="L85" s="3">
        <f t="shared" si="12"/>
        <v>264</v>
      </c>
      <c r="Q85" s="3">
        <f t="shared" si="13"/>
        <v>158</v>
      </c>
    </row>
    <row r="86" spans="8:17">
      <c r="H86" s="3">
        <f t="shared" si="11"/>
        <v>442</v>
      </c>
      <c r="L86" s="3">
        <f t="shared" si="12"/>
        <v>184</v>
      </c>
      <c r="Q86" s="3">
        <f t="shared" si="13"/>
        <v>111</v>
      </c>
    </row>
    <row r="87" spans="8:17">
      <c r="H87" s="3">
        <f t="shared" si="11"/>
        <v>129</v>
      </c>
      <c r="L87" s="3">
        <f t="shared" si="12"/>
        <v>54</v>
      </c>
      <c r="Q87" s="3">
        <f t="shared" si="13"/>
        <v>32</v>
      </c>
    </row>
    <row r="88" spans="8:17">
      <c r="H88" s="3">
        <f t="shared" si="11"/>
        <v>0</v>
      </c>
      <c r="L88" s="3">
        <f t="shared" si="12"/>
        <v>0</v>
      </c>
      <c r="Q88" s="3">
        <f t="shared" si="13"/>
        <v>0</v>
      </c>
    </row>
    <row r="89" spans="8:17">
      <c r="H89" s="3">
        <f t="shared" si="11"/>
        <v>0</v>
      </c>
      <c r="L89" s="3">
        <f t="shared" si="12"/>
        <v>0</v>
      </c>
      <c r="Q89" s="3">
        <f t="shared" si="13"/>
        <v>0</v>
      </c>
    </row>
    <row r="90" spans="8:17">
      <c r="H90" s="3">
        <f t="shared" si="11"/>
        <v>8</v>
      </c>
      <c r="L90" s="3">
        <f t="shared" si="12"/>
        <v>4</v>
      </c>
      <c r="Q90" s="3">
        <f t="shared" si="13"/>
        <v>2</v>
      </c>
    </row>
    <row r="91" spans="8:17">
      <c r="H91" s="3">
        <f t="shared" si="11"/>
        <v>1210</v>
      </c>
      <c r="L91" s="3">
        <f t="shared" si="12"/>
        <v>504</v>
      </c>
      <c r="Q91" s="3">
        <f t="shared" si="13"/>
        <v>302</v>
      </c>
    </row>
    <row r="92" spans="8:17">
      <c r="H92" s="3">
        <f t="shared" si="11"/>
        <v>0</v>
      </c>
      <c r="L92" s="3">
        <f t="shared" si="12"/>
        <v>0</v>
      </c>
      <c r="Q92" s="3">
        <f t="shared" si="13"/>
        <v>0</v>
      </c>
    </row>
    <row r="93" spans="8:17">
      <c r="H93" s="3">
        <f t="shared" si="11"/>
        <v>707</v>
      </c>
      <c r="L93" s="3">
        <f t="shared" si="12"/>
        <v>295</v>
      </c>
      <c r="Q93" s="3">
        <f t="shared" si="13"/>
        <v>177</v>
      </c>
    </row>
  </sheetData>
  <sheetProtection autoFilter="0"/>
  <mergeCells count="20">
    <mergeCell ref="A2:AL2"/>
    <mergeCell ref="A4:B4"/>
    <mergeCell ref="D4:G4"/>
    <mergeCell ref="H4:Q4"/>
    <mergeCell ref="R4:W4"/>
    <mergeCell ref="Y4:Z4"/>
    <mergeCell ref="AD4:AF4"/>
    <mergeCell ref="D5:G5"/>
    <mergeCell ref="H5:Q5"/>
    <mergeCell ref="R5:W5"/>
    <mergeCell ref="Y5:Z5"/>
    <mergeCell ref="AD5:AF5"/>
    <mergeCell ref="A35:B35"/>
    <mergeCell ref="A5:A6"/>
    <mergeCell ref="B5:B6"/>
    <mergeCell ref="C4:C6"/>
    <mergeCell ref="X5:X6"/>
    <mergeCell ref="AB5:AB6"/>
    <mergeCell ref="AC5:AC6"/>
    <mergeCell ref="AG5:AG6"/>
  </mergeCells>
  <printOptions horizontalCentered="1"/>
  <pageMargins left="0.47244094488189" right="0.47244094488189" top="0.433070866141732" bottom="0.15748031496063" header="0.118110236220472" footer="0.118110236220472"/>
  <pageSetup paperSize="9" scale="37" fitToHeight="0" orientation="landscape" blackAndWhite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69"/>
  <sheetViews>
    <sheetView showGridLines="0" showZeros="0" zoomScale="70" zoomScaleNormal="70" workbookViewId="0">
      <pane xSplit="5" ySplit="7" topLeftCell="F8" activePane="bottomRight" state="frozen"/>
      <selection/>
      <selection pane="topRight"/>
      <selection pane="bottomLeft"/>
      <selection pane="bottomRight" activeCell="G33" sqref="G33"/>
    </sheetView>
  </sheetViews>
  <sheetFormatPr defaultColWidth="8.775" defaultRowHeight="13.5"/>
  <cols>
    <col min="1" max="1" width="4.66666666666667" style="3" customWidth="1"/>
    <col min="2" max="2" width="23.2166666666667" style="3" customWidth="1"/>
    <col min="3" max="3" width="14.6416666666667" style="3" customWidth="1"/>
    <col min="4" max="4" width="11.775" style="3" customWidth="1"/>
    <col min="5" max="18" width="9.44166666666667" style="3" customWidth="1"/>
    <col min="19" max="24" width="8.44166666666667" style="3" customWidth="1"/>
    <col min="25" max="25" width="9.44166666666667" style="3" customWidth="1"/>
    <col min="26" max="27" width="10.4416666666667" style="3" customWidth="1"/>
    <col min="28" max="30" width="9.44166666666667" style="3" customWidth="1"/>
    <col min="31" max="33" width="10.4416666666667" style="3" customWidth="1"/>
    <col min="34" max="34" width="9.44166666666667" style="3" customWidth="1"/>
    <col min="35" max="35" width="13.1083333333333" style="3" customWidth="1"/>
    <col min="36" max="37" width="9.44166666666667" style="3" customWidth="1"/>
    <col min="38" max="38" width="9.21666666666667" style="3" customWidth="1"/>
    <col min="39" max="39" width="9.55833333333333" style="3" customWidth="1"/>
    <col min="40" max="16384" width="8.775" style="3"/>
  </cols>
  <sheetData>
    <row r="1" spans="1:39">
      <c r="A1" s="4"/>
    </row>
    <row r="2" s="1" customFormat="1" ht="24" spans="1:39">
      <c r="A2" s="5" t="s">
        <v>106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ht="20.25" customHeight="1" spans="1:39">
      <c r="AM3" s="6" t="s">
        <v>1</v>
      </c>
    </row>
    <row r="4" s="2" customFormat="1" ht="23.1" customHeight="1" spans="1:39">
      <c r="A4" s="7" t="s">
        <v>2</v>
      </c>
      <c r="B4" s="8"/>
      <c r="C4" s="39"/>
      <c r="D4" s="9" t="s">
        <v>3</v>
      </c>
      <c r="E4" s="10">
        <v>501</v>
      </c>
      <c r="F4" s="11"/>
      <c r="G4" s="11"/>
      <c r="H4" s="12"/>
      <c r="I4" s="10">
        <v>502</v>
      </c>
      <c r="J4" s="11"/>
      <c r="K4" s="11"/>
      <c r="L4" s="11"/>
      <c r="M4" s="11"/>
      <c r="N4" s="11"/>
      <c r="O4" s="11"/>
      <c r="P4" s="11"/>
      <c r="Q4" s="11"/>
      <c r="R4" s="12"/>
      <c r="S4" s="10">
        <v>503</v>
      </c>
      <c r="T4" s="11"/>
      <c r="U4" s="11"/>
      <c r="V4" s="11"/>
      <c r="W4" s="11"/>
      <c r="X4" s="11"/>
      <c r="Y4" s="13">
        <v>504</v>
      </c>
      <c r="Z4" s="10">
        <v>505</v>
      </c>
      <c r="AA4" s="12"/>
      <c r="AB4" s="13">
        <v>506</v>
      </c>
      <c r="AC4" s="13">
        <v>507</v>
      </c>
      <c r="AD4" s="13">
        <v>508</v>
      </c>
      <c r="AE4" s="10">
        <v>509</v>
      </c>
      <c r="AF4" s="11"/>
      <c r="AG4" s="12"/>
      <c r="AH4" s="13">
        <v>510</v>
      </c>
      <c r="AI4" s="13">
        <v>511</v>
      </c>
      <c r="AJ4" s="13">
        <v>512</v>
      </c>
      <c r="AK4" s="13">
        <v>513</v>
      </c>
      <c r="AL4" s="13">
        <v>514</v>
      </c>
      <c r="AM4" s="13">
        <v>599</v>
      </c>
    </row>
    <row r="5" s="2" customFormat="1" ht="69" customHeight="1" spans="1:39">
      <c r="A5" s="9" t="s">
        <v>74</v>
      </c>
      <c r="B5" s="9" t="s">
        <v>75</v>
      </c>
      <c r="C5" s="40"/>
      <c r="D5" s="14"/>
      <c r="E5" s="15" t="s">
        <v>6</v>
      </c>
      <c r="F5" s="16"/>
      <c r="G5" s="16"/>
      <c r="H5" s="17"/>
      <c r="I5" s="15" t="s">
        <v>7</v>
      </c>
      <c r="J5" s="16"/>
      <c r="K5" s="16"/>
      <c r="L5" s="16"/>
      <c r="M5" s="16"/>
      <c r="N5" s="16"/>
      <c r="O5" s="16"/>
      <c r="P5" s="16"/>
      <c r="Q5" s="16"/>
      <c r="R5" s="17"/>
      <c r="S5" s="18" t="s">
        <v>76</v>
      </c>
      <c r="T5" s="11"/>
      <c r="U5" s="11"/>
      <c r="V5" s="11"/>
      <c r="W5" s="11"/>
      <c r="X5" s="11"/>
      <c r="Y5" s="19" t="s">
        <v>77</v>
      </c>
      <c r="Z5" s="18" t="s">
        <v>10</v>
      </c>
      <c r="AA5" s="12"/>
      <c r="AB5" s="20" t="s">
        <v>11</v>
      </c>
      <c r="AC5" s="19" t="s">
        <v>12</v>
      </c>
      <c r="AD5" s="19" t="s">
        <v>13</v>
      </c>
      <c r="AE5" s="15" t="s">
        <v>14</v>
      </c>
      <c r="AF5" s="16"/>
      <c r="AG5" s="17"/>
      <c r="AH5" s="19" t="s">
        <v>15</v>
      </c>
      <c r="AI5" s="20" t="s">
        <v>16</v>
      </c>
      <c r="AJ5" s="20" t="s">
        <v>17</v>
      </c>
      <c r="AK5" s="20" t="s">
        <v>18</v>
      </c>
      <c r="AL5" s="20" t="s">
        <v>19</v>
      </c>
      <c r="AM5" s="20" t="s">
        <v>20</v>
      </c>
    </row>
    <row r="6" s="2" customFormat="1" ht="69" customHeight="1" spans="1:39">
      <c r="A6" s="21"/>
      <c r="B6" s="21"/>
      <c r="C6" s="21"/>
      <c r="D6" s="21"/>
      <c r="E6" s="22" t="s">
        <v>78</v>
      </c>
      <c r="F6" s="23" t="s">
        <v>107</v>
      </c>
      <c r="G6" s="23" t="s">
        <v>108</v>
      </c>
      <c r="H6" s="23" t="s">
        <v>109</v>
      </c>
      <c r="I6" s="23" t="s">
        <v>110</v>
      </c>
      <c r="J6" s="23" t="s">
        <v>111</v>
      </c>
      <c r="K6" s="23" t="s">
        <v>112</v>
      </c>
      <c r="L6" s="23" t="s">
        <v>113</v>
      </c>
      <c r="M6" s="23" t="s">
        <v>114</v>
      </c>
      <c r="N6" s="23" t="s">
        <v>115</v>
      </c>
      <c r="O6" s="23" t="s">
        <v>116</v>
      </c>
      <c r="P6" s="23" t="s">
        <v>117</v>
      </c>
      <c r="Q6" s="23" t="s">
        <v>118</v>
      </c>
      <c r="R6" s="23" t="s">
        <v>119</v>
      </c>
      <c r="S6" s="23" t="s">
        <v>120</v>
      </c>
      <c r="T6" s="23" t="s">
        <v>121</v>
      </c>
      <c r="U6" s="23" t="s">
        <v>122</v>
      </c>
      <c r="V6" s="23" t="s">
        <v>123</v>
      </c>
      <c r="W6" s="23" t="s">
        <v>124</v>
      </c>
      <c r="X6" s="23" t="s">
        <v>125</v>
      </c>
      <c r="Y6" s="24"/>
      <c r="Z6" s="23" t="s">
        <v>126</v>
      </c>
      <c r="AA6" s="23" t="s">
        <v>127</v>
      </c>
      <c r="AB6" s="22" t="s">
        <v>100</v>
      </c>
      <c r="AC6" s="24"/>
      <c r="AD6" s="24"/>
      <c r="AE6" s="23" t="s">
        <v>128</v>
      </c>
      <c r="AF6" s="23" t="s">
        <v>129</v>
      </c>
      <c r="AG6" s="23" t="s">
        <v>130</v>
      </c>
      <c r="AH6" s="24"/>
      <c r="AI6" s="23"/>
      <c r="AJ6" s="23"/>
      <c r="AK6" s="23"/>
      <c r="AL6" s="23"/>
      <c r="AM6" s="23"/>
    </row>
    <row r="7" ht="20.1" customHeight="1" spans="1:39">
      <c r="A7" s="25" t="s">
        <v>21</v>
      </c>
      <c r="B7" s="26" t="s">
        <v>22</v>
      </c>
      <c r="C7" s="26">
        <v>27496</v>
      </c>
      <c r="D7" s="27">
        <f t="shared" ref="D7:D33" si="0">SUM(E7:AL7)</f>
        <v>31896</v>
      </c>
      <c r="E7" s="41">
        <f t="shared" ref="E7:E33" si="1">ROUND($E$37*E40,0)</f>
        <v>1757</v>
      </c>
      <c r="F7" s="41">
        <f t="shared" ref="F7:F27" si="2">ROUND($F$37*F40,0)</f>
        <v>597</v>
      </c>
      <c r="G7" s="41">
        <f t="shared" ref="G7:G27" si="3">ROUND($G$37*G40,0)</f>
        <v>211</v>
      </c>
      <c r="H7" s="41">
        <f t="shared" ref="H7:H27" si="4">ROUND($H$37*H40,0)</f>
        <v>363</v>
      </c>
      <c r="I7" s="28">
        <f t="shared" ref="I7:I27" si="5">ROUND($I$37*I40,0)</f>
        <v>12268</v>
      </c>
      <c r="J7" s="28">
        <f t="shared" ref="J7:J27" si="6">ROUND($J$37*J40,0)</f>
        <v>320</v>
      </c>
      <c r="K7" s="28">
        <f t="shared" ref="K7:K27" si="7">ROUND($K$37*K40,0)</f>
        <v>320</v>
      </c>
      <c r="L7" s="28"/>
      <c r="M7" s="28">
        <f t="shared" ref="M7:M27" si="8">ROUND($M$37*M40,0)</f>
        <v>663</v>
      </c>
      <c r="N7" s="28">
        <f t="shared" ref="N7:N27" si="9">ROUND($N$37*N40,0)</f>
        <v>85</v>
      </c>
      <c r="O7" s="28">
        <f t="shared" ref="O7:O27" si="10">ROUND($O$37*O40,0)</f>
        <v>8</v>
      </c>
      <c r="P7" s="28">
        <f t="shared" ref="P7:P27" si="11">ROUND($P$37*P40,0)</f>
        <v>58</v>
      </c>
      <c r="Q7" s="28"/>
      <c r="R7" s="28">
        <f t="shared" ref="R7:R27" si="12">ROUND($R$37*R40,0)</f>
        <v>1462</v>
      </c>
      <c r="S7" s="28">
        <f t="shared" ref="S7:S27" si="13">ROUND($S$37*S40,0)</f>
        <v>35</v>
      </c>
      <c r="T7" s="28">
        <f t="shared" ref="T7:T27" si="14">ROUND($T$37*T40,0)</f>
        <v>174</v>
      </c>
      <c r="U7" s="28">
        <f t="shared" ref="U7:U27" si="15">ROUND($U$37*U40,0)</f>
        <v>0</v>
      </c>
      <c r="V7" s="28">
        <f t="shared" ref="V7:V27" si="16">ROUND($V$37*V40,0)</f>
        <v>243</v>
      </c>
      <c r="W7" s="28">
        <f t="shared" ref="W7:W27" si="17">ROUND($W$37*W40,0)</f>
        <v>104</v>
      </c>
      <c r="X7" s="28">
        <f t="shared" ref="X7:X27" si="18">ROUND($X$37*X40,0)</f>
        <v>139</v>
      </c>
      <c r="Y7" s="42">
        <v>1453</v>
      </c>
      <c r="Z7" s="28">
        <f t="shared" ref="Z7:Z27" si="19">ROUND($Z$37*Z40,0)</f>
        <v>777</v>
      </c>
      <c r="AA7" s="28">
        <f t="shared" ref="AA7:AA27" si="20">ROUND($AA$37*AA40,0)</f>
        <v>3108</v>
      </c>
      <c r="AB7" s="28">
        <f t="shared" ref="AB7:AB27" si="21">ROUND($AB$37*AB40,0)</f>
        <v>144</v>
      </c>
      <c r="AC7" s="28">
        <f t="shared" ref="AC7:AC27" si="22">ROUND($AC$37*AC40,0)</f>
        <v>273</v>
      </c>
      <c r="AD7" s="28">
        <f t="shared" ref="AD7:AD27" si="23">ROUND($AD$37*AD40,0)</f>
        <v>0</v>
      </c>
      <c r="AE7" s="28">
        <f t="shared" ref="AE7:AE27" si="24">ROUND($AE$37*AE40,0)</f>
        <v>793</v>
      </c>
      <c r="AF7" s="28">
        <f t="shared" ref="AF7:AF27" si="25">ROUND($AF$37*AF40,0)</f>
        <v>623</v>
      </c>
      <c r="AG7" s="28">
        <f t="shared" ref="AG7:AG27" si="26">ROUND($AG$37*AG40,0)</f>
        <v>4247</v>
      </c>
      <c r="AH7" s="28">
        <f t="shared" ref="AH7:AH27" si="27">ROUND($AH$37*AH40,0)</f>
        <v>1671</v>
      </c>
      <c r="AI7" s="29"/>
      <c r="AJ7" s="29"/>
      <c r="AK7" s="29"/>
      <c r="AL7" s="29"/>
      <c r="AM7" s="27">
        <f t="shared" ref="AM7:AM27" si="28">D7-SUM(E7:AL7)</f>
        <v>0</v>
      </c>
    </row>
    <row r="8" ht="20.1" customHeight="1" spans="1:39">
      <c r="A8" s="25" t="s">
        <v>23</v>
      </c>
      <c r="B8" s="26" t="s">
        <v>24</v>
      </c>
      <c r="C8" s="26">
        <v>0</v>
      </c>
      <c r="D8" s="27">
        <f t="shared" si="0"/>
        <v>0</v>
      </c>
      <c r="E8" s="41">
        <f t="shared" si="1"/>
        <v>0</v>
      </c>
      <c r="F8" s="41">
        <f t="shared" si="2"/>
        <v>0</v>
      </c>
      <c r="G8" s="41">
        <f t="shared" si="3"/>
        <v>0</v>
      </c>
      <c r="H8" s="41">
        <f t="shared" si="4"/>
        <v>0</v>
      </c>
      <c r="I8" s="28">
        <f t="shared" si="5"/>
        <v>0</v>
      </c>
      <c r="J8" s="28">
        <f t="shared" si="6"/>
        <v>0</v>
      </c>
      <c r="K8" s="28">
        <f t="shared" si="7"/>
        <v>0</v>
      </c>
      <c r="L8" s="28"/>
      <c r="M8" s="28">
        <f t="shared" si="8"/>
        <v>0</v>
      </c>
      <c r="N8" s="28">
        <f t="shared" si="9"/>
        <v>0</v>
      </c>
      <c r="O8" s="28">
        <f t="shared" si="10"/>
        <v>0</v>
      </c>
      <c r="P8" s="28">
        <f t="shared" si="11"/>
        <v>0</v>
      </c>
      <c r="Q8" s="28"/>
      <c r="R8" s="28">
        <f t="shared" si="12"/>
        <v>0</v>
      </c>
      <c r="S8" s="28">
        <f t="shared" si="13"/>
        <v>0</v>
      </c>
      <c r="T8" s="28">
        <f t="shared" si="14"/>
        <v>0</v>
      </c>
      <c r="U8" s="28">
        <f t="shared" si="15"/>
        <v>0</v>
      </c>
      <c r="V8" s="28">
        <f t="shared" si="16"/>
        <v>0</v>
      </c>
      <c r="W8" s="28">
        <f t="shared" si="17"/>
        <v>0</v>
      </c>
      <c r="X8" s="28">
        <f t="shared" si="18"/>
        <v>0</v>
      </c>
      <c r="Y8" s="42">
        <v>0</v>
      </c>
      <c r="Z8" s="28">
        <f t="shared" si="19"/>
        <v>0</v>
      </c>
      <c r="AA8" s="28">
        <f t="shared" si="20"/>
        <v>0</v>
      </c>
      <c r="AB8" s="28">
        <f t="shared" si="21"/>
        <v>0</v>
      </c>
      <c r="AC8" s="28">
        <f t="shared" si="22"/>
        <v>0</v>
      </c>
      <c r="AD8" s="28">
        <f t="shared" si="23"/>
        <v>0</v>
      </c>
      <c r="AE8" s="28">
        <f t="shared" si="24"/>
        <v>0</v>
      </c>
      <c r="AF8" s="28">
        <f t="shared" si="25"/>
        <v>0</v>
      </c>
      <c r="AG8" s="28">
        <f t="shared" si="26"/>
        <v>0</v>
      </c>
      <c r="AH8" s="28">
        <f t="shared" si="27"/>
        <v>0</v>
      </c>
      <c r="AI8" s="29"/>
      <c r="AJ8" s="29"/>
      <c r="AK8" s="29"/>
      <c r="AL8" s="29"/>
      <c r="AM8" s="27">
        <f t="shared" si="28"/>
        <v>0</v>
      </c>
    </row>
    <row r="9" ht="20.1" customHeight="1" spans="1:39">
      <c r="A9" s="25" t="s">
        <v>25</v>
      </c>
      <c r="B9" s="26" t="s">
        <v>26</v>
      </c>
      <c r="C9" s="26">
        <v>45</v>
      </c>
      <c r="D9" s="27">
        <f t="shared" si="0"/>
        <v>0</v>
      </c>
      <c r="E9" s="41">
        <f t="shared" si="1"/>
        <v>0</v>
      </c>
      <c r="F9" s="41">
        <f t="shared" si="2"/>
        <v>0</v>
      </c>
      <c r="G9" s="41">
        <f t="shared" si="3"/>
        <v>0</v>
      </c>
      <c r="H9" s="41">
        <f t="shared" si="4"/>
        <v>0</v>
      </c>
      <c r="I9" s="28">
        <f t="shared" si="5"/>
        <v>0</v>
      </c>
      <c r="J9" s="28">
        <f t="shared" si="6"/>
        <v>0</v>
      </c>
      <c r="K9" s="28">
        <f t="shared" si="7"/>
        <v>0</v>
      </c>
      <c r="L9" s="28"/>
      <c r="M9" s="28">
        <f t="shared" si="8"/>
        <v>0</v>
      </c>
      <c r="N9" s="28">
        <f t="shared" si="9"/>
        <v>0</v>
      </c>
      <c r="O9" s="28">
        <f t="shared" si="10"/>
        <v>0</v>
      </c>
      <c r="P9" s="28">
        <f t="shared" si="11"/>
        <v>0</v>
      </c>
      <c r="Q9" s="28"/>
      <c r="R9" s="28">
        <f t="shared" si="12"/>
        <v>0</v>
      </c>
      <c r="S9" s="28">
        <f t="shared" si="13"/>
        <v>0</v>
      </c>
      <c r="T9" s="28">
        <f t="shared" si="14"/>
        <v>0</v>
      </c>
      <c r="U9" s="28">
        <f t="shared" si="15"/>
        <v>0</v>
      </c>
      <c r="V9" s="28">
        <f t="shared" si="16"/>
        <v>0</v>
      </c>
      <c r="W9" s="28">
        <f t="shared" si="17"/>
        <v>0</v>
      </c>
      <c r="X9" s="28">
        <f t="shared" si="18"/>
        <v>0</v>
      </c>
      <c r="Y9" s="42">
        <v>0</v>
      </c>
      <c r="Z9" s="28">
        <f t="shared" si="19"/>
        <v>0</v>
      </c>
      <c r="AA9" s="28">
        <f t="shared" si="20"/>
        <v>0</v>
      </c>
      <c r="AB9" s="28">
        <f t="shared" si="21"/>
        <v>0</v>
      </c>
      <c r="AC9" s="28">
        <f t="shared" si="22"/>
        <v>0</v>
      </c>
      <c r="AD9" s="28">
        <f t="shared" si="23"/>
        <v>0</v>
      </c>
      <c r="AE9" s="28">
        <f t="shared" si="24"/>
        <v>0</v>
      </c>
      <c r="AF9" s="28">
        <f t="shared" si="25"/>
        <v>0</v>
      </c>
      <c r="AG9" s="28">
        <f t="shared" si="26"/>
        <v>0</v>
      </c>
      <c r="AH9" s="28">
        <f t="shared" si="27"/>
        <v>0</v>
      </c>
      <c r="AI9" s="29"/>
      <c r="AJ9" s="29"/>
      <c r="AK9" s="29"/>
      <c r="AL9" s="29"/>
      <c r="AM9" s="27">
        <f t="shared" si="28"/>
        <v>0</v>
      </c>
    </row>
    <row r="10" ht="20.1" customHeight="1" spans="1:39">
      <c r="A10" s="25" t="s">
        <v>27</v>
      </c>
      <c r="B10" s="26" t="s">
        <v>28</v>
      </c>
      <c r="C10" s="26">
        <v>410</v>
      </c>
      <c r="D10" s="27">
        <f t="shared" si="0"/>
        <v>2780</v>
      </c>
      <c r="E10" s="41">
        <f t="shared" si="1"/>
        <v>123</v>
      </c>
      <c r="F10" s="41">
        <f t="shared" si="2"/>
        <v>42</v>
      </c>
      <c r="G10" s="41">
        <f t="shared" si="3"/>
        <v>15</v>
      </c>
      <c r="H10" s="41">
        <f t="shared" si="4"/>
        <v>25</v>
      </c>
      <c r="I10" s="28">
        <f t="shared" si="5"/>
        <v>398</v>
      </c>
      <c r="J10" s="28">
        <f t="shared" si="6"/>
        <v>10</v>
      </c>
      <c r="K10" s="28">
        <f t="shared" si="7"/>
        <v>10</v>
      </c>
      <c r="L10" s="28"/>
      <c r="M10" s="28">
        <f t="shared" si="8"/>
        <v>20</v>
      </c>
      <c r="N10" s="28">
        <f t="shared" si="9"/>
        <v>0</v>
      </c>
      <c r="O10" s="28">
        <f t="shared" si="10"/>
        <v>0</v>
      </c>
      <c r="P10" s="28">
        <f t="shared" si="11"/>
        <v>0</v>
      </c>
      <c r="Q10" s="28"/>
      <c r="R10" s="28">
        <f t="shared" si="12"/>
        <v>60</v>
      </c>
      <c r="S10" s="28">
        <f t="shared" si="13"/>
        <v>2</v>
      </c>
      <c r="T10" s="28">
        <f t="shared" si="14"/>
        <v>12</v>
      </c>
      <c r="U10" s="28">
        <f t="shared" si="15"/>
        <v>0</v>
      </c>
      <c r="V10" s="28">
        <f t="shared" si="16"/>
        <v>17</v>
      </c>
      <c r="W10" s="28">
        <f t="shared" si="17"/>
        <v>7</v>
      </c>
      <c r="X10" s="28">
        <f t="shared" si="18"/>
        <v>10</v>
      </c>
      <c r="Y10" s="42">
        <v>3</v>
      </c>
      <c r="Z10" s="28">
        <f t="shared" si="19"/>
        <v>0</v>
      </c>
      <c r="AA10" s="28">
        <f t="shared" si="20"/>
        <v>0</v>
      </c>
      <c r="AB10" s="28">
        <f t="shared" si="21"/>
        <v>0</v>
      </c>
      <c r="AC10" s="28">
        <f t="shared" si="22"/>
        <v>317</v>
      </c>
      <c r="AD10" s="28">
        <f t="shared" si="23"/>
        <v>62</v>
      </c>
      <c r="AE10" s="28">
        <f t="shared" si="24"/>
        <v>2</v>
      </c>
      <c r="AF10" s="28">
        <f t="shared" si="25"/>
        <v>2</v>
      </c>
      <c r="AG10" s="28">
        <f t="shared" si="26"/>
        <v>11</v>
      </c>
      <c r="AH10" s="28">
        <f t="shared" si="27"/>
        <v>1632</v>
      </c>
      <c r="AI10" s="29"/>
      <c r="AJ10" s="29"/>
      <c r="AK10" s="29"/>
      <c r="AL10" s="29"/>
      <c r="AM10" s="27">
        <f t="shared" si="28"/>
        <v>0</v>
      </c>
    </row>
    <row r="11" ht="20.1" customHeight="1" spans="1:39">
      <c r="A11" s="25" t="s">
        <v>29</v>
      </c>
      <c r="B11" s="26" t="s">
        <v>30</v>
      </c>
      <c r="C11" s="26">
        <v>43020</v>
      </c>
      <c r="D11" s="27">
        <f t="shared" si="0"/>
        <v>30202</v>
      </c>
      <c r="E11" s="41">
        <f t="shared" si="1"/>
        <v>1599</v>
      </c>
      <c r="F11" s="41">
        <f t="shared" si="2"/>
        <v>544</v>
      </c>
      <c r="G11" s="41">
        <f t="shared" si="3"/>
        <v>192</v>
      </c>
      <c r="H11" s="41">
        <f t="shared" si="4"/>
        <v>331</v>
      </c>
      <c r="I11" s="28">
        <f t="shared" si="5"/>
        <v>5202</v>
      </c>
      <c r="J11" s="28">
        <f t="shared" si="6"/>
        <v>131</v>
      </c>
      <c r="K11" s="28">
        <f t="shared" si="7"/>
        <v>131</v>
      </c>
      <c r="L11" s="28"/>
      <c r="M11" s="28">
        <f t="shared" si="8"/>
        <v>262</v>
      </c>
      <c r="N11" s="28">
        <f t="shared" si="9"/>
        <v>16</v>
      </c>
      <c r="O11" s="28">
        <f t="shared" si="10"/>
        <v>5</v>
      </c>
      <c r="P11" s="28">
        <f t="shared" si="11"/>
        <v>16</v>
      </c>
      <c r="Q11" s="28"/>
      <c r="R11" s="28">
        <f t="shared" si="12"/>
        <v>786</v>
      </c>
      <c r="S11" s="28">
        <f t="shared" si="13"/>
        <v>32</v>
      </c>
      <c r="T11" s="28">
        <f t="shared" si="14"/>
        <v>158</v>
      </c>
      <c r="U11" s="28">
        <f t="shared" si="15"/>
        <v>0</v>
      </c>
      <c r="V11" s="28">
        <f t="shared" si="16"/>
        <v>221</v>
      </c>
      <c r="W11" s="28">
        <f t="shared" si="17"/>
        <v>95</v>
      </c>
      <c r="X11" s="28">
        <f t="shared" si="18"/>
        <v>126</v>
      </c>
      <c r="Y11" s="28">
        <v>3475</v>
      </c>
      <c r="Z11" s="28">
        <f t="shared" si="19"/>
        <v>1524</v>
      </c>
      <c r="AA11" s="28">
        <f t="shared" si="20"/>
        <v>6097</v>
      </c>
      <c r="AB11" s="28">
        <f t="shared" si="21"/>
        <v>120</v>
      </c>
      <c r="AC11" s="28">
        <f t="shared" si="22"/>
        <v>4186</v>
      </c>
      <c r="AD11" s="28">
        <f t="shared" si="23"/>
        <v>818</v>
      </c>
      <c r="AE11" s="28">
        <f t="shared" si="24"/>
        <v>366</v>
      </c>
      <c r="AF11" s="28">
        <f t="shared" si="25"/>
        <v>288</v>
      </c>
      <c r="AG11" s="28">
        <f t="shared" si="26"/>
        <v>1961</v>
      </c>
      <c r="AH11" s="28">
        <f t="shared" si="27"/>
        <v>1520</v>
      </c>
      <c r="AI11" s="29"/>
      <c r="AJ11" s="29"/>
      <c r="AK11" s="29"/>
      <c r="AL11" s="29"/>
      <c r="AM11" s="27">
        <f t="shared" si="28"/>
        <v>0</v>
      </c>
    </row>
    <row r="12" ht="20.1" customHeight="1" spans="1:39">
      <c r="A12" s="25" t="s">
        <v>31</v>
      </c>
      <c r="B12" s="26" t="s">
        <v>32</v>
      </c>
      <c r="C12" s="26">
        <v>1400</v>
      </c>
      <c r="D12" s="27">
        <f t="shared" si="0"/>
        <v>3085</v>
      </c>
      <c r="E12" s="41">
        <f t="shared" si="1"/>
        <v>951</v>
      </c>
      <c r="F12" s="41">
        <f t="shared" si="2"/>
        <v>323</v>
      </c>
      <c r="G12" s="41">
        <f t="shared" si="3"/>
        <v>114</v>
      </c>
      <c r="H12" s="41">
        <f t="shared" si="4"/>
        <v>197</v>
      </c>
      <c r="I12" s="28">
        <f t="shared" si="5"/>
        <v>471</v>
      </c>
      <c r="J12" s="28">
        <f t="shared" si="6"/>
        <v>12</v>
      </c>
      <c r="K12" s="28">
        <f t="shared" si="7"/>
        <v>12</v>
      </c>
      <c r="L12" s="28"/>
      <c r="M12" s="28">
        <f t="shared" si="8"/>
        <v>24</v>
      </c>
      <c r="N12" s="28">
        <f t="shared" si="9"/>
        <v>0</v>
      </c>
      <c r="O12" s="28">
        <f t="shared" si="10"/>
        <v>0</v>
      </c>
      <c r="P12" s="28">
        <f t="shared" si="11"/>
        <v>2</v>
      </c>
      <c r="Q12" s="28"/>
      <c r="R12" s="28">
        <f t="shared" si="12"/>
        <v>71</v>
      </c>
      <c r="S12" s="28">
        <f t="shared" si="13"/>
        <v>3</v>
      </c>
      <c r="T12" s="28">
        <f t="shared" si="14"/>
        <v>14</v>
      </c>
      <c r="U12" s="28">
        <f t="shared" si="15"/>
        <v>0</v>
      </c>
      <c r="V12" s="28">
        <f t="shared" si="16"/>
        <v>20</v>
      </c>
      <c r="W12" s="28">
        <f t="shared" si="17"/>
        <v>9</v>
      </c>
      <c r="X12" s="28">
        <f t="shared" si="18"/>
        <v>11</v>
      </c>
      <c r="Y12" s="42">
        <v>113</v>
      </c>
      <c r="Z12" s="28">
        <f t="shared" si="19"/>
        <v>0</v>
      </c>
      <c r="AA12" s="28">
        <f t="shared" si="20"/>
        <v>0</v>
      </c>
      <c r="AB12" s="28">
        <f t="shared" si="21"/>
        <v>0</v>
      </c>
      <c r="AC12" s="28">
        <f t="shared" si="22"/>
        <v>377</v>
      </c>
      <c r="AD12" s="28">
        <f t="shared" si="23"/>
        <v>73</v>
      </c>
      <c r="AE12" s="28">
        <f t="shared" si="24"/>
        <v>2</v>
      </c>
      <c r="AF12" s="28">
        <f t="shared" si="25"/>
        <v>2</v>
      </c>
      <c r="AG12" s="28">
        <f t="shared" si="26"/>
        <v>13</v>
      </c>
      <c r="AH12" s="28">
        <f t="shared" si="27"/>
        <v>271</v>
      </c>
      <c r="AI12" s="29"/>
      <c r="AJ12" s="29"/>
      <c r="AK12" s="29"/>
      <c r="AL12" s="29"/>
      <c r="AM12" s="27">
        <f t="shared" si="28"/>
        <v>0</v>
      </c>
    </row>
    <row r="13" ht="20.1" customHeight="1" spans="1:39">
      <c r="A13" s="25" t="s">
        <v>33</v>
      </c>
      <c r="B13" s="26" t="s">
        <v>34</v>
      </c>
      <c r="C13" s="26">
        <v>11363</v>
      </c>
      <c r="D13" s="27">
        <f t="shared" si="0"/>
        <v>11902</v>
      </c>
      <c r="E13" s="41">
        <f t="shared" si="1"/>
        <v>991</v>
      </c>
      <c r="F13" s="41">
        <f t="shared" si="2"/>
        <v>337</v>
      </c>
      <c r="G13" s="41">
        <f t="shared" si="3"/>
        <v>119</v>
      </c>
      <c r="H13" s="41">
        <f t="shared" si="4"/>
        <v>205</v>
      </c>
      <c r="I13" s="28">
        <f t="shared" si="5"/>
        <v>603</v>
      </c>
      <c r="J13" s="28">
        <f t="shared" si="6"/>
        <v>15</v>
      </c>
      <c r="K13" s="28">
        <f t="shared" si="7"/>
        <v>15</v>
      </c>
      <c r="L13" s="28"/>
      <c r="M13" s="28">
        <f t="shared" si="8"/>
        <v>30</v>
      </c>
      <c r="N13" s="28">
        <f t="shared" si="9"/>
        <v>0</v>
      </c>
      <c r="O13" s="28">
        <f t="shared" si="10"/>
        <v>0</v>
      </c>
      <c r="P13" s="28">
        <f t="shared" si="11"/>
        <v>2</v>
      </c>
      <c r="Q13" s="28"/>
      <c r="R13" s="28">
        <f t="shared" si="12"/>
        <v>91</v>
      </c>
      <c r="S13" s="28">
        <f t="shared" si="13"/>
        <v>4</v>
      </c>
      <c r="T13" s="28">
        <f t="shared" si="14"/>
        <v>18</v>
      </c>
      <c r="U13" s="28">
        <f t="shared" si="15"/>
        <v>0</v>
      </c>
      <c r="V13" s="28">
        <f t="shared" si="16"/>
        <v>26</v>
      </c>
      <c r="W13" s="28">
        <f t="shared" si="17"/>
        <v>11</v>
      </c>
      <c r="X13" s="28">
        <f t="shared" si="18"/>
        <v>15</v>
      </c>
      <c r="Y13" s="42">
        <v>8000</v>
      </c>
      <c r="Z13" s="28">
        <f t="shared" si="19"/>
        <v>0</v>
      </c>
      <c r="AA13" s="28">
        <f t="shared" si="20"/>
        <v>0</v>
      </c>
      <c r="AB13" s="28">
        <f t="shared" si="21"/>
        <v>0</v>
      </c>
      <c r="AC13" s="28">
        <f t="shared" si="22"/>
        <v>483</v>
      </c>
      <c r="AD13" s="28">
        <f t="shared" si="23"/>
        <v>94</v>
      </c>
      <c r="AE13" s="28">
        <f t="shared" si="24"/>
        <v>3</v>
      </c>
      <c r="AF13" s="28">
        <f t="shared" si="25"/>
        <v>2</v>
      </c>
      <c r="AG13" s="28">
        <f t="shared" si="26"/>
        <v>16</v>
      </c>
      <c r="AH13" s="28">
        <f t="shared" si="27"/>
        <v>822</v>
      </c>
      <c r="AI13" s="29"/>
      <c r="AJ13" s="29"/>
      <c r="AK13" s="29"/>
      <c r="AL13" s="29"/>
      <c r="AM13" s="27">
        <f t="shared" si="28"/>
        <v>0</v>
      </c>
    </row>
    <row r="14" ht="20.1" customHeight="1" spans="1:39">
      <c r="A14" s="25" t="s">
        <v>35</v>
      </c>
      <c r="B14" s="26" t="s">
        <v>36</v>
      </c>
      <c r="C14" s="26">
        <v>29556</v>
      </c>
      <c r="D14" s="27">
        <f t="shared" si="0"/>
        <v>21584</v>
      </c>
      <c r="E14" s="41">
        <f t="shared" si="1"/>
        <v>1587</v>
      </c>
      <c r="F14" s="41">
        <f t="shared" si="2"/>
        <v>540</v>
      </c>
      <c r="G14" s="41">
        <f t="shared" si="3"/>
        <v>190</v>
      </c>
      <c r="H14" s="41">
        <f t="shared" si="4"/>
        <v>328</v>
      </c>
      <c r="I14" s="28">
        <f t="shared" si="5"/>
        <v>3842</v>
      </c>
      <c r="J14" s="28">
        <f t="shared" si="6"/>
        <v>97</v>
      </c>
      <c r="K14" s="28">
        <f t="shared" si="7"/>
        <v>97</v>
      </c>
      <c r="L14" s="28"/>
      <c r="M14" s="28">
        <f t="shared" si="8"/>
        <v>194</v>
      </c>
      <c r="N14" s="28">
        <f t="shared" si="9"/>
        <v>17</v>
      </c>
      <c r="O14" s="28">
        <f t="shared" si="10"/>
        <v>0</v>
      </c>
      <c r="P14" s="28">
        <f t="shared" si="11"/>
        <v>17</v>
      </c>
      <c r="Q14" s="28"/>
      <c r="R14" s="28">
        <f t="shared" si="12"/>
        <v>581</v>
      </c>
      <c r="S14" s="28">
        <f t="shared" si="13"/>
        <v>23</v>
      </c>
      <c r="T14" s="28">
        <f t="shared" si="14"/>
        <v>117</v>
      </c>
      <c r="U14" s="28">
        <f t="shared" si="15"/>
        <v>0</v>
      </c>
      <c r="V14" s="28">
        <f t="shared" si="16"/>
        <v>164</v>
      </c>
      <c r="W14" s="28">
        <f t="shared" si="17"/>
        <v>70</v>
      </c>
      <c r="X14" s="28">
        <f t="shared" si="18"/>
        <v>94</v>
      </c>
      <c r="Y14" s="42">
        <v>387</v>
      </c>
      <c r="Z14" s="28">
        <f t="shared" si="19"/>
        <v>1645</v>
      </c>
      <c r="AA14" s="28">
        <f t="shared" si="20"/>
        <v>6579</v>
      </c>
      <c r="AB14" s="28">
        <f t="shared" si="21"/>
        <v>25</v>
      </c>
      <c r="AC14" s="28">
        <f t="shared" si="22"/>
        <v>0</v>
      </c>
      <c r="AD14" s="28">
        <f t="shared" si="23"/>
        <v>606</v>
      </c>
      <c r="AE14" s="28">
        <f t="shared" si="24"/>
        <v>485</v>
      </c>
      <c r="AF14" s="28">
        <f t="shared" si="25"/>
        <v>381</v>
      </c>
      <c r="AG14" s="28">
        <f t="shared" si="26"/>
        <v>2597</v>
      </c>
      <c r="AH14" s="28">
        <f t="shared" si="27"/>
        <v>921</v>
      </c>
      <c r="AI14" s="29"/>
      <c r="AJ14" s="29"/>
      <c r="AK14" s="29"/>
      <c r="AL14" s="29"/>
      <c r="AM14" s="27">
        <f t="shared" si="28"/>
        <v>0</v>
      </c>
    </row>
    <row r="15" ht="20.1" customHeight="1" spans="1:39">
      <c r="A15" s="25" t="s">
        <v>37</v>
      </c>
      <c r="B15" s="26" t="s">
        <v>38</v>
      </c>
      <c r="C15" s="26">
        <v>19499</v>
      </c>
      <c r="D15" s="27">
        <f t="shared" si="0"/>
        <v>15768</v>
      </c>
      <c r="E15" s="41">
        <f t="shared" si="1"/>
        <v>899</v>
      </c>
      <c r="F15" s="41">
        <f t="shared" si="2"/>
        <v>306</v>
      </c>
      <c r="G15" s="41">
        <f t="shared" si="3"/>
        <v>108</v>
      </c>
      <c r="H15" s="41">
        <f t="shared" si="4"/>
        <v>186</v>
      </c>
      <c r="I15" s="28">
        <f t="shared" si="5"/>
        <v>6218</v>
      </c>
      <c r="J15" s="28">
        <f t="shared" si="6"/>
        <v>156</v>
      </c>
      <c r="K15" s="28">
        <f t="shared" si="7"/>
        <v>156</v>
      </c>
      <c r="L15" s="28"/>
      <c r="M15" s="28">
        <f t="shared" si="8"/>
        <v>311</v>
      </c>
      <c r="N15" s="28">
        <f t="shared" si="9"/>
        <v>0</v>
      </c>
      <c r="O15" s="28">
        <f t="shared" si="10"/>
        <v>0</v>
      </c>
      <c r="P15" s="28">
        <f t="shared" si="11"/>
        <v>8</v>
      </c>
      <c r="Q15" s="28"/>
      <c r="R15" s="28">
        <f t="shared" si="12"/>
        <v>934</v>
      </c>
      <c r="S15" s="28">
        <f t="shared" si="13"/>
        <v>18</v>
      </c>
      <c r="T15" s="28">
        <f t="shared" si="14"/>
        <v>89</v>
      </c>
      <c r="U15" s="28">
        <f t="shared" si="15"/>
        <v>0</v>
      </c>
      <c r="V15" s="28">
        <f t="shared" si="16"/>
        <v>124</v>
      </c>
      <c r="W15" s="28">
        <f t="shared" si="17"/>
        <v>53</v>
      </c>
      <c r="X15" s="28">
        <f t="shared" si="18"/>
        <v>71</v>
      </c>
      <c r="Y15" s="42">
        <v>1575</v>
      </c>
      <c r="Z15" s="28">
        <f t="shared" si="19"/>
        <v>0</v>
      </c>
      <c r="AA15" s="28">
        <f t="shared" si="20"/>
        <v>0</v>
      </c>
      <c r="AB15" s="28">
        <f t="shared" si="21"/>
        <v>0</v>
      </c>
      <c r="AC15" s="28">
        <f t="shared" si="22"/>
        <v>2352</v>
      </c>
      <c r="AD15" s="28">
        <f t="shared" si="23"/>
        <v>459</v>
      </c>
      <c r="AE15" s="28">
        <f t="shared" si="24"/>
        <v>185</v>
      </c>
      <c r="AF15" s="28">
        <f t="shared" si="25"/>
        <v>145</v>
      </c>
      <c r="AG15" s="28">
        <f t="shared" si="26"/>
        <v>989</v>
      </c>
      <c r="AH15" s="28">
        <f t="shared" si="27"/>
        <v>426</v>
      </c>
      <c r="AI15" s="29"/>
      <c r="AJ15" s="29"/>
      <c r="AK15" s="29"/>
      <c r="AL15" s="29"/>
      <c r="AM15" s="27">
        <f t="shared" si="28"/>
        <v>0</v>
      </c>
    </row>
    <row r="16" ht="20.1" customHeight="1" spans="1:39">
      <c r="A16" s="25" t="s">
        <v>39</v>
      </c>
      <c r="B16" s="26" t="s">
        <v>40</v>
      </c>
      <c r="C16" s="26">
        <v>1576</v>
      </c>
      <c r="D16" s="27">
        <f t="shared" si="0"/>
        <v>5508</v>
      </c>
      <c r="E16" s="41">
        <f t="shared" si="1"/>
        <v>274</v>
      </c>
      <c r="F16" s="41">
        <f t="shared" si="2"/>
        <v>93</v>
      </c>
      <c r="G16" s="41">
        <f t="shared" si="3"/>
        <v>33</v>
      </c>
      <c r="H16" s="41">
        <f t="shared" si="4"/>
        <v>57</v>
      </c>
      <c r="I16" s="28">
        <f t="shared" si="5"/>
        <v>900</v>
      </c>
      <c r="J16" s="28">
        <f t="shared" si="6"/>
        <v>23</v>
      </c>
      <c r="K16" s="28">
        <f t="shared" si="7"/>
        <v>23</v>
      </c>
      <c r="L16" s="28"/>
      <c r="M16" s="28">
        <f t="shared" si="8"/>
        <v>45</v>
      </c>
      <c r="N16" s="28">
        <f t="shared" si="9"/>
        <v>0</v>
      </c>
      <c r="O16" s="28">
        <f t="shared" si="10"/>
        <v>0</v>
      </c>
      <c r="P16" s="28">
        <f t="shared" si="11"/>
        <v>0</v>
      </c>
      <c r="Q16" s="28"/>
      <c r="R16" s="28">
        <f t="shared" si="12"/>
        <v>135</v>
      </c>
      <c r="S16" s="28">
        <f t="shared" si="13"/>
        <v>127</v>
      </c>
      <c r="T16" s="28">
        <f t="shared" si="14"/>
        <v>636</v>
      </c>
      <c r="U16" s="28">
        <f t="shared" si="15"/>
        <v>0</v>
      </c>
      <c r="V16" s="28">
        <f t="shared" si="16"/>
        <v>891</v>
      </c>
      <c r="W16" s="28">
        <f t="shared" si="17"/>
        <v>382</v>
      </c>
      <c r="X16" s="28">
        <f t="shared" si="18"/>
        <v>509</v>
      </c>
      <c r="Y16" s="42">
        <v>127</v>
      </c>
      <c r="Z16" s="28">
        <f t="shared" si="19"/>
        <v>0</v>
      </c>
      <c r="AA16" s="28">
        <f t="shared" si="20"/>
        <v>0</v>
      </c>
      <c r="AB16" s="28">
        <f t="shared" si="21"/>
        <v>0</v>
      </c>
      <c r="AC16" s="28">
        <f t="shared" si="22"/>
        <v>718</v>
      </c>
      <c r="AD16" s="28">
        <f t="shared" si="23"/>
        <v>140</v>
      </c>
      <c r="AE16" s="28">
        <f t="shared" si="24"/>
        <v>5</v>
      </c>
      <c r="AF16" s="28">
        <f t="shared" si="25"/>
        <v>4</v>
      </c>
      <c r="AG16" s="28">
        <f t="shared" si="26"/>
        <v>25</v>
      </c>
      <c r="AH16" s="28">
        <f t="shared" si="27"/>
        <v>361</v>
      </c>
      <c r="AI16" s="29"/>
      <c r="AJ16" s="29"/>
      <c r="AK16" s="29"/>
      <c r="AL16" s="29"/>
      <c r="AM16" s="27">
        <f t="shared" si="28"/>
        <v>0</v>
      </c>
    </row>
    <row r="17" ht="20.1" customHeight="1" spans="1:39">
      <c r="A17" s="25" t="s">
        <v>41</v>
      </c>
      <c r="B17" s="26" t="s">
        <v>42</v>
      </c>
      <c r="C17" s="26">
        <v>26995</v>
      </c>
      <c r="D17" s="27">
        <f t="shared" si="0"/>
        <v>40589</v>
      </c>
      <c r="E17" s="41">
        <f t="shared" si="1"/>
        <v>8376</v>
      </c>
      <c r="F17" s="41">
        <f t="shared" si="2"/>
        <v>2848</v>
      </c>
      <c r="G17" s="41">
        <f t="shared" si="3"/>
        <v>1005</v>
      </c>
      <c r="H17" s="41">
        <f t="shared" si="4"/>
        <v>1731</v>
      </c>
      <c r="I17" s="28">
        <f t="shared" si="5"/>
        <v>7550</v>
      </c>
      <c r="J17" s="28">
        <f t="shared" si="6"/>
        <v>174</v>
      </c>
      <c r="K17" s="28">
        <f t="shared" si="7"/>
        <v>174</v>
      </c>
      <c r="L17" s="28"/>
      <c r="M17" s="28">
        <f t="shared" si="8"/>
        <v>381</v>
      </c>
      <c r="N17" s="28">
        <f t="shared" si="9"/>
        <v>71</v>
      </c>
      <c r="O17" s="28">
        <f t="shared" si="10"/>
        <v>0</v>
      </c>
      <c r="P17" s="28">
        <f t="shared" si="11"/>
        <v>29</v>
      </c>
      <c r="Q17" s="28"/>
      <c r="R17" s="28">
        <f t="shared" si="12"/>
        <v>1142</v>
      </c>
      <c r="S17" s="28">
        <f t="shared" si="13"/>
        <v>38</v>
      </c>
      <c r="T17" s="28">
        <f t="shared" si="14"/>
        <v>190</v>
      </c>
      <c r="U17" s="28">
        <f t="shared" si="15"/>
        <v>71</v>
      </c>
      <c r="V17" s="28">
        <f t="shared" si="16"/>
        <v>195</v>
      </c>
      <c r="W17" s="28">
        <f t="shared" si="17"/>
        <v>114</v>
      </c>
      <c r="X17" s="28">
        <f t="shared" si="18"/>
        <v>152</v>
      </c>
      <c r="Y17" s="42">
        <v>2342</v>
      </c>
      <c r="Z17" s="28">
        <f t="shared" si="19"/>
        <v>1854</v>
      </c>
      <c r="AA17" s="28">
        <f t="shared" si="20"/>
        <v>7417</v>
      </c>
      <c r="AB17" s="28">
        <f t="shared" si="21"/>
        <v>359</v>
      </c>
      <c r="AC17" s="28">
        <f t="shared" si="22"/>
        <v>1083</v>
      </c>
      <c r="AD17" s="28">
        <f t="shared" si="23"/>
        <v>984</v>
      </c>
      <c r="AE17" s="28">
        <f t="shared" si="24"/>
        <v>203</v>
      </c>
      <c r="AF17" s="28">
        <f t="shared" si="25"/>
        <v>160</v>
      </c>
      <c r="AG17" s="28">
        <f t="shared" si="26"/>
        <v>1091</v>
      </c>
      <c r="AH17" s="28">
        <f t="shared" si="27"/>
        <v>855</v>
      </c>
      <c r="AI17" s="29"/>
      <c r="AJ17" s="29"/>
      <c r="AK17" s="29"/>
      <c r="AL17" s="29"/>
      <c r="AM17" s="27">
        <f t="shared" si="28"/>
        <v>0</v>
      </c>
    </row>
    <row r="18" ht="20.1" customHeight="1" spans="1:39">
      <c r="A18" s="25" t="s">
        <v>43</v>
      </c>
      <c r="B18" s="26" t="s">
        <v>44</v>
      </c>
      <c r="C18" s="26">
        <v>8010</v>
      </c>
      <c r="D18" s="27">
        <f t="shared" si="0"/>
        <v>9190</v>
      </c>
      <c r="E18" s="41">
        <f t="shared" si="1"/>
        <v>522</v>
      </c>
      <c r="F18" s="41">
        <f t="shared" si="2"/>
        <v>177</v>
      </c>
      <c r="G18" s="41">
        <f t="shared" si="3"/>
        <v>63</v>
      </c>
      <c r="H18" s="41">
        <f t="shared" si="4"/>
        <v>108</v>
      </c>
      <c r="I18" s="28">
        <f t="shared" si="5"/>
        <v>4331</v>
      </c>
      <c r="J18" s="28">
        <f t="shared" si="6"/>
        <v>109</v>
      </c>
      <c r="K18" s="28">
        <f t="shared" si="7"/>
        <v>108</v>
      </c>
      <c r="L18" s="28"/>
      <c r="M18" s="28">
        <f t="shared" si="8"/>
        <v>217</v>
      </c>
      <c r="N18" s="28">
        <f t="shared" si="9"/>
        <v>5</v>
      </c>
      <c r="O18" s="28">
        <f t="shared" si="10"/>
        <v>0</v>
      </c>
      <c r="P18" s="28">
        <f t="shared" si="11"/>
        <v>0</v>
      </c>
      <c r="Q18" s="28"/>
      <c r="R18" s="28">
        <f t="shared" si="12"/>
        <v>650</v>
      </c>
      <c r="S18" s="28">
        <f t="shared" si="13"/>
        <v>10</v>
      </c>
      <c r="T18" s="28">
        <f t="shared" si="14"/>
        <v>51</v>
      </c>
      <c r="U18" s="28">
        <f t="shared" si="15"/>
        <v>0</v>
      </c>
      <c r="V18" s="28">
        <f t="shared" si="16"/>
        <v>72</v>
      </c>
      <c r="W18" s="28">
        <f t="shared" si="17"/>
        <v>31</v>
      </c>
      <c r="X18" s="28">
        <f t="shared" si="18"/>
        <v>41</v>
      </c>
      <c r="Y18" s="42">
        <v>647</v>
      </c>
      <c r="Z18" s="28">
        <f t="shared" si="19"/>
        <v>0</v>
      </c>
      <c r="AA18" s="28">
        <f t="shared" si="20"/>
        <v>0</v>
      </c>
      <c r="AB18" s="28">
        <f t="shared" si="21"/>
        <v>0</v>
      </c>
      <c r="AC18" s="28">
        <f t="shared" si="22"/>
        <v>1365</v>
      </c>
      <c r="AD18" s="28">
        <f t="shared" si="23"/>
        <v>267</v>
      </c>
      <c r="AE18" s="28">
        <f t="shared" si="24"/>
        <v>9</v>
      </c>
      <c r="AF18" s="28">
        <f t="shared" si="25"/>
        <v>7</v>
      </c>
      <c r="AG18" s="28">
        <f t="shared" si="26"/>
        <v>47</v>
      </c>
      <c r="AH18" s="28">
        <f t="shared" si="27"/>
        <v>353</v>
      </c>
      <c r="AI18" s="29"/>
      <c r="AJ18" s="29"/>
      <c r="AK18" s="29"/>
      <c r="AL18" s="29"/>
      <c r="AM18" s="27">
        <f t="shared" si="28"/>
        <v>0</v>
      </c>
    </row>
    <row r="19" ht="20.1" customHeight="1" spans="1:39">
      <c r="A19" s="25" t="s">
        <v>45</v>
      </c>
      <c r="B19" s="26" t="s">
        <v>46</v>
      </c>
      <c r="C19" s="26">
        <v>7210</v>
      </c>
      <c r="D19" s="27">
        <f t="shared" si="0"/>
        <v>3223</v>
      </c>
      <c r="E19" s="41">
        <f t="shared" si="1"/>
        <v>135</v>
      </c>
      <c r="F19" s="41">
        <f t="shared" si="2"/>
        <v>46</v>
      </c>
      <c r="G19" s="41">
        <f t="shared" si="3"/>
        <v>16</v>
      </c>
      <c r="H19" s="41">
        <f t="shared" si="4"/>
        <v>28</v>
      </c>
      <c r="I19" s="28">
        <f t="shared" si="5"/>
        <v>443</v>
      </c>
      <c r="J19" s="28">
        <f t="shared" si="6"/>
        <v>11</v>
      </c>
      <c r="K19" s="28">
        <f t="shared" si="7"/>
        <v>11</v>
      </c>
      <c r="L19" s="28"/>
      <c r="M19" s="28">
        <f t="shared" si="8"/>
        <v>22</v>
      </c>
      <c r="N19" s="28">
        <f t="shared" si="9"/>
        <v>0</v>
      </c>
      <c r="O19" s="28">
        <f t="shared" si="10"/>
        <v>0</v>
      </c>
      <c r="P19" s="28">
        <f t="shared" si="11"/>
        <v>0</v>
      </c>
      <c r="Q19" s="28"/>
      <c r="R19" s="28">
        <f t="shared" si="12"/>
        <v>66</v>
      </c>
      <c r="S19" s="28">
        <f t="shared" si="13"/>
        <v>64</v>
      </c>
      <c r="T19" s="28">
        <f t="shared" si="14"/>
        <v>318</v>
      </c>
      <c r="U19" s="28">
        <f t="shared" si="15"/>
        <v>0</v>
      </c>
      <c r="V19" s="28">
        <f t="shared" si="16"/>
        <v>445</v>
      </c>
      <c r="W19" s="28">
        <f t="shared" si="17"/>
        <v>191</v>
      </c>
      <c r="X19" s="28">
        <f t="shared" si="18"/>
        <v>254</v>
      </c>
      <c r="Y19" s="42">
        <v>583</v>
      </c>
      <c r="Z19" s="28">
        <f t="shared" si="19"/>
        <v>0</v>
      </c>
      <c r="AA19" s="28">
        <f t="shared" si="20"/>
        <v>0</v>
      </c>
      <c r="AB19" s="28">
        <f t="shared" si="21"/>
        <v>0</v>
      </c>
      <c r="AC19" s="28">
        <f t="shared" si="22"/>
        <v>353</v>
      </c>
      <c r="AD19" s="28">
        <f t="shared" si="23"/>
        <v>69</v>
      </c>
      <c r="AE19" s="28">
        <f t="shared" si="24"/>
        <v>2</v>
      </c>
      <c r="AF19" s="28">
        <f t="shared" si="25"/>
        <v>2</v>
      </c>
      <c r="AG19" s="28">
        <f t="shared" si="26"/>
        <v>12</v>
      </c>
      <c r="AH19" s="28">
        <f t="shared" si="27"/>
        <v>152</v>
      </c>
      <c r="AI19" s="29"/>
      <c r="AJ19" s="29"/>
      <c r="AK19" s="29"/>
      <c r="AL19" s="29"/>
      <c r="AM19" s="27">
        <f t="shared" si="28"/>
        <v>0</v>
      </c>
    </row>
    <row r="20" ht="20.1" customHeight="1" spans="1:39">
      <c r="A20" s="25" t="s">
        <v>47</v>
      </c>
      <c r="B20" s="30" t="s">
        <v>48</v>
      </c>
      <c r="C20" s="30">
        <v>2076</v>
      </c>
      <c r="D20" s="27">
        <f t="shared" si="0"/>
        <v>4878</v>
      </c>
      <c r="E20" s="41">
        <f t="shared" si="1"/>
        <v>280</v>
      </c>
      <c r="F20" s="41">
        <f t="shared" si="2"/>
        <v>95</v>
      </c>
      <c r="G20" s="41">
        <f t="shared" si="3"/>
        <v>34</v>
      </c>
      <c r="H20" s="41">
        <f t="shared" si="4"/>
        <v>58</v>
      </c>
      <c r="I20" s="28">
        <f t="shared" si="5"/>
        <v>2223</v>
      </c>
      <c r="J20" s="28">
        <f t="shared" si="6"/>
        <v>56</v>
      </c>
      <c r="K20" s="28">
        <f t="shared" si="7"/>
        <v>56</v>
      </c>
      <c r="L20" s="28"/>
      <c r="M20" s="28">
        <f t="shared" si="8"/>
        <v>112</v>
      </c>
      <c r="N20" s="28">
        <f t="shared" si="9"/>
        <v>0</v>
      </c>
      <c r="O20" s="28">
        <f t="shared" si="10"/>
        <v>0</v>
      </c>
      <c r="P20" s="28">
        <f t="shared" si="11"/>
        <v>7</v>
      </c>
      <c r="Q20" s="28"/>
      <c r="R20" s="28">
        <f t="shared" si="12"/>
        <v>335</v>
      </c>
      <c r="S20" s="28">
        <f t="shared" si="13"/>
        <v>6</v>
      </c>
      <c r="T20" s="28">
        <f t="shared" si="14"/>
        <v>28</v>
      </c>
      <c r="U20" s="28">
        <f t="shared" si="15"/>
        <v>0</v>
      </c>
      <c r="V20" s="28">
        <f t="shared" si="16"/>
        <v>39</v>
      </c>
      <c r="W20" s="28">
        <f t="shared" si="17"/>
        <v>17</v>
      </c>
      <c r="X20" s="28">
        <f t="shared" si="18"/>
        <v>22</v>
      </c>
      <c r="Y20" s="42">
        <v>168</v>
      </c>
      <c r="Z20" s="28">
        <f t="shared" si="19"/>
        <v>0</v>
      </c>
      <c r="AA20" s="28">
        <f t="shared" si="20"/>
        <v>0</v>
      </c>
      <c r="AB20" s="28">
        <f t="shared" si="21"/>
        <v>0</v>
      </c>
      <c r="AC20" s="28">
        <f t="shared" si="22"/>
        <v>733</v>
      </c>
      <c r="AD20" s="28">
        <f t="shared" si="23"/>
        <v>144</v>
      </c>
      <c r="AE20" s="28">
        <f t="shared" si="24"/>
        <v>5</v>
      </c>
      <c r="AF20" s="28">
        <f t="shared" si="25"/>
        <v>4</v>
      </c>
      <c r="AG20" s="28">
        <f t="shared" si="26"/>
        <v>25</v>
      </c>
      <c r="AH20" s="28">
        <f t="shared" si="27"/>
        <v>431</v>
      </c>
      <c r="AI20" s="29"/>
      <c r="AJ20" s="29"/>
      <c r="AK20" s="29"/>
      <c r="AL20" s="29"/>
      <c r="AM20" s="27">
        <f t="shared" si="28"/>
        <v>0</v>
      </c>
    </row>
    <row r="21" ht="20.1" customHeight="1" spans="1:39">
      <c r="A21" s="25" t="s">
        <v>49</v>
      </c>
      <c r="B21" s="30" t="s">
        <v>50</v>
      </c>
      <c r="C21" s="30">
        <v>1469</v>
      </c>
      <c r="D21" s="27">
        <f t="shared" si="0"/>
        <v>1771</v>
      </c>
      <c r="E21" s="41">
        <f t="shared" si="1"/>
        <v>115</v>
      </c>
      <c r="F21" s="41">
        <f t="shared" si="2"/>
        <v>39</v>
      </c>
      <c r="G21" s="41">
        <f t="shared" si="3"/>
        <v>14</v>
      </c>
      <c r="H21" s="41">
        <f t="shared" si="4"/>
        <v>24</v>
      </c>
      <c r="I21" s="28">
        <f t="shared" si="5"/>
        <v>377</v>
      </c>
      <c r="J21" s="28">
        <f t="shared" si="6"/>
        <v>9</v>
      </c>
      <c r="K21" s="28">
        <f t="shared" si="7"/>
        <v>9</v>
      </c>
      <c r="L21" s="28"/>
      <c r="M21" s="28">
        <f t="shared" si="8"/>
        <v>19</v>
      </c>
      <c r="N21" s="28">
        <f t="shared" si="9"/>
        <v>0</v>
      </c>
      <c r="O21" s="28">
        <f t="shared" si="10"/>
        <v>0</v>
      </c>
      <c r="P21" s="28">
        <f t="shared" si="11"/>
        <v>0</v>
      </c>
      <c r="Q21" s="28"/>
      <c r="R21" s="28">
        <f t="shared" si="12"/>
        <v>57</v>
      </c>
      <c r="S21" s="28">
        <f t="shared" si="13"/>
        <v>2</v>
      </c>
      <c r="T21" s="28">
        <f t="shared" si="14"/>
        <v>11</v>
      </c>
      <c r="U21" s="28">
        <f t="shared" si="15"/>
        <v>0</v>
      </c>
      <c r="V21" s="28">
        <f t="shared" si="16"/>
        <v>16</v>
      </c>
      <c r="W21" s="28">
        <f t="shared" si="17"/>
        <v>7</v>
      </c>
      <c r="X21" s="28">
        <f t="shared" si="18"/>
        <v>9</v>
      </c>
      <c r="Y21" s="28">
        <v>119</v>
      </c>
      <c r="Z21" s="28">
        <f t="shared" si="19"/>
        <v>0</v>
      </c>
      <c r="AA21" s="28">
        <f t="shared" si="20"/>
        <v>0</v>
      </c>
      <c r="AB21" s="28">
        <f t="shared" si="21"/>
        <v>79</v>
      </c>
      <c r="AC21" s="28">
        <f t="shared" si="22"/>
        <v>752</v>
      </c>
      <c r="AD21" s="28">
        <f t="shared" si="23"/>
        <v>59</v>
      </c>
      <c r="AE21" s="28">
        <f t="shared" si="24"/>
        <v>2</v>
      </c>
      <c r="AF21" s="28">
        <f t="shared" si="25"/>
        <v>2</v>
      </c>
      <c r="AG21" s="28">
        <f t="shared" si="26"/>
        <v>10</v>
      </c>
      <c r="AH21" s="28">
        <f t="shared" si="27"/>
        <v>40</v>
      </c>
      <c r="AI21" s="29"/>
      <c r="AJ21" s="29"/>
      <c r="AK21" s="29"/>
      <c r="AL21" s="29"/>
      <c r="AM21" s="27">
        <f t="shared" si="28"/>
        <v>0</v>
      </c>
    </row>
    <row r="22" ht="20.1" customHeight="1" spans="1:39">
      <c r="A22" s="25" t="s">
        <v>51</v>
      </c>
      <c r="B22" s="31" t="s">
        <v>52</v>
      </c>
      <c r="C22" s="31">
        <v>10</v>
      </c>
      <c r="D22" s="27">
        <f t="shared" si="0"/>
        <v>6</v>
      </c>
      <c r="E22" s="41">
        <f t="shared" si="1"/>
        <v>0</v>
      </c>
      <c r="F22" s="41">
        <f t="shared" si="2"/>
        <v>0</v>
      </c>
      <c r="G22" s="41">
        <f t="shared" si="3"/>
        <v>0</v>
      </c>
      <c r="H22" s="41">
        <f t="shared" si="4"/>
        <v>0</v>
      </c>
      <c r="I22" s="28">
        <f t="shared" si="5"/>
        <v>0</v>
      </c>
      <c r="J22" s="28">
        <f t="shared" si="6"/>
        <v>0</v>
      </c>
      <c r="K22" s="28">
        <f t="shared" si="7"/>
        <v>0</v>
      </c>
      <c r="L22" s="28"/>
      <c r="M22" s="28">
        <f t="shared" si="8"/>
        <v>0</v>
      </c>
      <c r="N22" s="28">
        <f t="shared" si="9"/>
        <v>0</v>
      </c>
      <c r="O22" s="28">
        <f t="shared" si="10"/>
        <v>0</v>
      </c>
      <c r="P22" s="28">
        <f t="shared" si="11"/>
        <v>0</v>
      </c>
      <c r="Q22" s="28"/>
      <c r="R22" s="28">
        <f t="shared" si="12"/>
        <v>0</v>
      </c>
      <c r="S22" s="28">
        <f t="shared" si="13"/>
        <v>0</v>
      </c>
      <c r="T22" s="28">
        <f t="shared" si="14"/>
        <v>0</v>
      </c>
      <c r="U22" s="28">
        <f t="shared" si="15"/>
        <v>0</v>
      </c>
      <c r="V22" s="28">
        <f t="shared" si="16"/>
        <v>0</v>
      </c>
      <c r="W22" s="28">
        <f t="shared" si="17"/>
        <v>0</v>
      </c>
      <c r="X22" s="28">
        <f t="shared" si="18"/>
        <v>0</v>
      </c>
      <c r="Y22" s="42">
        <v>0</v>
      </c>
      <c r="Z22" s="28">
        <f t="shared" si="19"/>
        <v>0</v>
      </c>
      <c r="AA22" s="28">
        <f t="shared" si="20"/>
        <v>0</v>
      </c>
      <c r="AB22" s="28">
        <f t="shared" si="21"/>
        <v>0</v>
      </c>
      <c r="AC22" s="28">
        <f t="shared" si="22"/>
        <v>6</v>
      </c>
      <c r="AD22" s="28">
        <f t="shared" si="23"/>
        <v>0</v>
      </c>
      <c r="AE22" s="28">
        <f t="shared" si="24"/>
        <v>0</v>
      </c>
      <c r="AF22" s="28">
        <f t="shared" si="25"/>
        <v>0</v>
      </c>
      <c r="AG22" s="28">
        <f t="shared" si="26"/>
        <v>0</v>
      </c>
      <c r="AH22" s="28">
        <f t="shared" si="27"/>
        <v>0</v>
      </c>
      <c r="AI22" s="29"/>
      <c r="AJ22" s="29"/>
      <c r="AK22" s="29"/>
      <c r="AL22" s="29"/>
      <c r="AM22" s="27">
        <f t="shared" si="28"/>
        <v>0</v>
      </c>
    </row>
    <row r="23" ht="20.1" customHeight="1" spans="1:39">
      <c r="A23" s="25" t="s">
        <v>53</v>
      </c>
      <c r="B23" s="30" t="s">
        <v>54</v>
      </c>
      <c r="C23" s="30">
        <v>0</v>
      </c>
      <c r="D23" s="27">
        <f t="shared" si="0"/>
        <v>0</v>
      </c>
      <c r="E23" s="41">
        <f t="shared" si="1"/>
        <v>0</v>
      </c>
      <c r="F23" s="41">
        <f t="shared" si="2"/>
        <v>0</v>
      </c>
      <c r="G23" s="41">
        <f t="shared" si="3"/>
        <v>0</v>
      </c>
      <c r="H23" s="41">
        <f t="shared" si="4"/>
        <v>0</v>
      </c>
      <c r="I23" s="28">
        <f t="shared" si="5"/>
        <v>0</v>
      </c>
      <c r="J23" s="28">
        <f t="shared" si="6"/>
        <v>0</v>
      </c>
      <c r="K23" s="28">
        <f t="shared" si="7"/>
        <v>0</v>
      </c>
      <c r="L23" s="28"/>
      <c r="M23" s="28">
        <f t="shared" si="8"/>
        <v>0</v>
      </c>
      <c r="N23" s="28">
        <f t="shared" si="9"/>
        <v>0</v>
      </c>
      <c r="O23" s="28">
        <f t="shared" si="10"/>
        <v>0</v>
      </c>
      <c r="P23" s="28">
        <f t="shared" si="11"/>
        <v>0</v>
      </c>
      <c r="Q23" s="28"/>
      <c r="R23" s="28">
        <f t="shared" si="12"/>
        <v>0</v>
      </c>
      <c r="S23" s="28">
        <f t="shared" si="13"/>
        <v>0</v>
      </c>
      <c r="T23" s="28">
        <f t="shared" si="14"/>
        <v>0</v>
      </c>
      <c r="U23" s="28">
        <f t="shared" si="15"/>
        <v>0</v>
      </c>
      <c r="V23" s="28">
        <f t="shared" si="16"/>
        <v>0</v>
      </c>
      <c r="W23" s="28">
        <f t="shared" si="17"/>
        <v>0</v>
      </c>
      <c r="X23" s="28">
        <f t="shared" si="18"/>
        <v>0</v>
      </c>
      <c r="Y23" s="42">
        <v>0</v>
      </c>
      <c r="Z23" s="28">
        <f t="shared" si="19"/>
        <v>0</v>
      </c>
      <c r="AA23" s="28">
        <f t="shared" si="20"/>
        <v>0</v>
      </c>
      <c r="AB23" s="28">
        <f t="shared" si="21"/>
        <v>0</v>
      </c>
      <c r="AC23" s="28">
        <f t="shared" si="22"/>
        <v>0</v>
      </c>
      <c r="AD23" s="28">
        <f t="shared" si="23"/>
        <v>0</v>
      </c>
      <c r="AE23" s="28">
        <f t="shared" si="24"/>
        <v>0</v>
      </c>
      <c r="AF23" s="28">
        <f t="shared" si="25"/>
        <v>0</v>
      </c>
      <c r="AG23" s="28">
        <f t="shared" si="26"/>
        <v>0</v>
      </c>
      <c r="AH23" s="28">
        <f t="shared" si="27"/>
        <v>0</v>
      </c>
      <c r="AI23" s="29"/>
      <c r="AJ23" s="29"/>
      <c r="AK23" s="29"/>
      <c r="AL23" s="29"/>
      <c r="AM23" s="27">
        <f t="shared" si="28"/>
        <v>0</v>
      </c>
    </row>
    <row r="24" ht="20.1" customHeight="1" spans="1:39">
      <c r="A24" s="25" t="s">
        <v>55</v>
      </c>
      <c r="B24" s="30" t="s">
        <v>56</v>
      </c>
      <c r="C24" s="30">
        <v>86</v>
      </c>
      <c r="D24" s="27">
        <f t="shared" si="0"/>
        <v>94</v>
      </c>
      <c r="E24" s="41">
        <f t="shared" si="1"/>
        <v>5</v>
      </c>
      <c r="F24" s="41">
        <f t="shared" si="2"/>
        <v>2</v>
      </c>
      <c r="G24" s="41">
        <f t="shared" si="3"/>
        <v>1</v>
      </c>
      <c r="H24" s="41">
        <f t="shared" si="4"/>
        <v>1</v>
      </c>
      <c r="I24" s="28">
        <f t="shared" si="5"/>
        <v>16</v>
      </c>
      <c r="J24" s="28">
        <f t="shared" si="6"/>
        <v>0</v>
      </c>
      <c r="K24" s="28">
        <f t="shared" si="7"/>
        <v>0</v>
      </c>
      <c r="L24" s="28"/>
      <c r="M24" s="28">
        <f t="shared" si="8"/>
        <v>1</v>
      </c>
      <c r="N24" s="28">
        <f t="shared" si="9"/>
        <v>0</v>
      </c>
      <c r="O24" s="28">
        <f t="shared" si="10"/>
        <v>0</v>
      </c>
      <c r="P24" s="28">
        <f t="shared" si="11"/>
        <v>0</v>
      </c>
      <c r="Q24" s="28"/>
      <c r="R24" s="28">
        <f t="shared" si="12"/>
        <v>2</v>
      </c>
      <c r="S24" s="28">
        <f t="shared" si="13"/>
        <v>0</v>
      </c>
      <c r="T24" s="28">
        <f t="shared" si="14"/>
        <v>0</v>
      </c>
      <c r="U24" s="28">
        <f t="shared" si="15"/>
        <v>0</v>
      </c>
      <c r="V24" s="28">
        <f t="shared" si="16"/>
        <v>0</v>
      </c>
      <c r="W24" s="28">
        <f t="shared" si="17"/>
        <v>0</v>
      </c>
      <c r="X24" s="28">
        <f t="shared" si="18"/>
        <v>0</v>
      </c>
      <c r="Y24" s="42">
        <v>8</v>
      </c>
      <c r="Z24" s="28">
        <f t="shared" si="19"/>
        <v>0</v>
      </c>
      <c r="AA24" s="28">
        <f t="shared" si="20"/>
        <v>0</v>
      </c>
      <c r="AB24" s="28">
        <f t="shared" si="21"/>
        <v>0</v>
      </c>
      <c r="AC24" s="28">
        <f t="shared" si="22"/>
        <v>12</v>
      </c>
      <c r="AD24" s="28">
        <f t="shared" si="23"/>
        <v>3</v>
      </c>
      <c r="AE24" s="28">
        <f t="shared" si="24"/>
        <v>0</v>
      </c>
      <c r="AF24" s="28">
        <f t="shared" si="25"/>
        <v>0</v>
      </c>
      <c r="AG24" s="28">
        <f t="shared" si="26"/>
        <v>0</v>
      </c>
      <c r="AH24" s="28">
        <f t="shared" si="27"/>
        <v>43</v>
      </c>
      <c r="AI24" s="29"/>
      <c r="AJ24" s="29"/>
      <c r="AK24" s="29"/>
      <c r="AL24" s="29"/>
      <c r="AM24" s="27">
        <f t="shared" si="28"/>
        <v>0</v>
      </c>
    </row>
    <row r="25" ht="20.1" customHeight="1" spans="1:39">
      <c r="A25" s="25" t="s">
        <v>57</v>
      </c>
      <c r="B25" s="30" t="s">
        <v>58</v>
      </c>
      <c r="C25" s="30">
        <v>11622</v>
      </c>
      <c r="D25" s="27">
        <f t="shared" si="0"/>
        <v>9549</v>
      </c>
      <c r="E25" s="41">
        <f t="shared" si="1"/>
        <v>1250</v>
      </c>
      <c r="F25" s="41">
        <f t="shared" si="2"/>
        <v>425</v>
      </c>
      <c r="G25" s="41">
        <f t="shared" si="3"/>
        <v>150</v>
      </c>
      <c r="H25" s="41">
        <f t="shared" si="4"/>
        <v>258</v>
      </c>
      <c r="I25" s="28">
        <f t="shared" si="5"/>
        <v>1713</v>
      </c>
      <c r="J25" s="28">
        <f t="shared" si="6"/>
        <v>43</v>
      </c>
      <c r="K25" s="28">
        <f t="shared" si="7"/>
        <v>43</v>
      </c>
      <c r="L25" s="28"/>
      <c r="M25" s="28">
        <f t="shared" si="8"/>
        <v>86</v>
      </c>
      <c r="N25" s="28">
        <f t="shared" si="9"/>
        <v>13</v>
      </c>
      <c r="O25" s="28">
        <f t="shared" si="10"/>
        <v>0</v>
      </c>
      <c r="P25" s="28">
        <f t="shared" si="11"/>
        <v>0</v>
      </c>
      <c r="Q25" s="28"/>
      <c r="R25" s="28">
        <f t="shared" si="12"/>
        <v>259</v>
      </c>
      <c r="S25" s="28">
        <f t="shared" si="13"/>
        <v>70</v>
      </c>
      <c r="T25" s="28">
        <f t="shared" si="14"/>
        <v>348</v>
      </c>
      <c r="U25" s="28">
        <f t="shared" si="15"/>
        <v>0</v>
      </c>
      <c r="V25" s="28">
        <f t="shared" si="16"/>
        <v>488</v>
      </c>
      <c r="W25" s="28">
        <f t="shared" si="17"/>
        <v>209</v>
      </c>
      <c r="X25" s="28">
        <f t="shared" si="18"/>
        <v>279</v>
      </c>
      <c r="Y25" s="42">
        <v>938</v>
      </c>
      <c r="Z25" s="28">
        <f t="shared" si="19"/>
        <v>113</v>
      </c>
      <c r="AA25" s="28">
        <f t="shared" si="20"/>
        <v>454</v>
      </c>
      <c r="AB25" s="28">
        <f t="shared" si="21"/>
        <v>0</v>
      </c>
      <c r="AC25" s="28">
        <f t="shared" si="22"/>
        <v>1161</v>
      </c>
      <c r="AD25" s="28">
        <f t="shared" si="23"/>
        <v>227</v>
      </c>
      <c r="AE25" s="28">
        <f t="shared" si="24"/>
        <v>7</v>
      </c>
      <c r="AF25" s="28">
        <f t="shared" si="25"/>
        <v>6</v>
      </c>
      <c r="AG25" s="28">
        <f t="shared" si="26"/>
        <v>40</v>
      </c>
      <c r="AH25" s="28">
        <f t="shared" si="27"/>
        <v>969</v>
      </c>
      <c r="AI25" s="29"/>
      <c r="AJ25" s="29"/>
      <c r="AK25" s="29"/>
      <c r="AL25" s="29"/>
      <c r="AM25" s="27">
        <f t="shared" si="28"/>
        <v>0</v>
      </c>
    </row>
    <row r="26" ht="20.1" customHeight="1" spans="1:39">
      <c r="A26" s="25" t="s">
        <v>59</v>
      </c>
      <c r="B26" s="30" t="s">
        <v>60</v>
      </c>
      <c r="C26" s="30">
        <v>0</v>
      </c>
      <c r="D26" s="27">
        <f t="shared" si="0"/>
        <v>0</v>
      </c>
      <c r="E26" s="41">
        <f t="shared" si="1"/>
        <v>0</v>
      </c>
      <c r="F26" s="41">
        <f t="shared" si="2"/>
        <v>0</v>
      </c>
      <c r="G26" s="41">
        <f t="shared" si="3"/>
        <v>0</v>
      </c>
      <c r="H26" s="41">
        <f t="shared" si="4"/>
        <v>0</v>
      </c>
      <c r="I26" s="28">
        <f t="shared" si="5"/>
        <v>0</v>
      </c>
      <c r="J26" s="28">
        <f t="shared" si="6"/>
        <v>0</v>
      </c>
      <c r="K26" s="28">
        <f t="shared" si="7"/>
        <v>0</v>
      </c>
      <c r="L26" s="28"/>
      <c r="M26" s="28">
        <f t="shared" si="8"/>
        <v>0</v>
      </c>
      <c r="N26" s="28">
        <f t="shared" si="9"/>
        <v>0</v>
      </c>
      <c r="O26" s="28">
        <f t="shared" si="10"/>
        <v>0</v>
      </c>
      <c r="P26" s="28">
        <f t="shared" si="11"/>
        <v>0</v>
      </c>
      <c r="Q26" s="28"/>
      <c r="R26" s="28">
        <f t="shared" si="12"/>
        <v>0</v>
      </c>
      <c r="S26" s="28">
        <f t="shared" si="13"/>
        <v>0</v>
      </c>
      <c r="T26" s="28">
        <f t="shared" si="14"/>
        <v>0</v>
      </c>
      <c r="U26" s="28">
        <f t="shared" si="15"/>
        <v>0</v>
      </c>
      <c r="V26" s="28">
        <f t="shared" si="16"/>
        <v>0</v>
      </c>
      <c r="W26" s="28">
        <f t="shared" si="17"/>
        <v>0</v>
      </c>
      <c r="X26" s="28">
        <f t="shared" si="18"/>
        <v>0</v>
      </c>
      <c r="Y26" s="42">
        <v>0</v>
      </c>
      <c r="Z26" s="28">
        <f t="shared" si="19"/>
        <v>0</v>
      </c>
      <c r="AA26" s="28">
        <f t="shared" si="20"/>
        <v>0</v>
      </c>
      <c r="AB26" s="28">
        <f t="shared" si="21"/>
        <v>0</v>
      </c>
      <c r="AC26" s="28">
        <f t="shared" si="22"/>
        <v>0</v>
      </c>
      <c r="AD26" s="28">
        <f t="shared" si="23"/>
        <v>0</v>
      </c>
      <c r="AE26" s="28">
        <f t="shared" si="24"/>
        <v>0</v>
      </c>
      <c r="AF26" s="28">
        <f t="shared" si="25"/>
        <v>0</v>
      </c>
      <c r="AG26" s="28">
        <f t="shared" si="26"/>
        <v>0</v>
      </c>
      <c r="AH26" s="28">
        <f t="shared" si="27"/>
        <v>0</v>
      </c>
      <c r="AI26" s="29"/>
      <c r="AJ26" s="29"/>
      <c r="AK26" s="29"/>
      <c r="AL26" s="29"/>
      <c r="AM26" s="27">
        <f t="shared" si="28"/>
        <v>0</v>
      </c>
    </row>
    <row r="27" ht="20.1" customHeight="1" spans="1:39">
      <c r="A27" s="25" t="s">
        <v>61</v>
      </c>
      <c r="B27" s="30" t="s">
        <v>62</v>
      </c>
      <c r="C27" s="30">
        <v>3700</v>
      </c>
      <c r="D27" s="27">
        <f t="shared" si="0"/>
        <v>4055</v>
      </c>
      <c r="E27" s="41">
        <f t="shared" si="1"/>
        <v>133</v>
      </c>
      <c r="F27" s="41">
        <f t="shared" si="2"/>
        <v>45</v>
      </c>
      <c r="G27" s="41">
        <f t="shared" si="3"/>
        <v>16</v>
      </c>
      <c r="H27" s="41">
        <f t="shared" si="4"/>
        <v>28</v>
      </c>
      <c r="I27" s="28">
        <f t="shared" si="5"/>
        <v>438</v>
      </c>
      <c r="J27" s="28">
        <f t="shared" si="6"/>
        <v>11</v>
      </c>
      <c r="K27" s="28">
        <f t="shared" si="7"/>
        <v>11</v>
      </c>
      <c r="L27" s="28"/>
      <c r="M27" s="28">
        <f t="shared" si="8"/>
        <v>22</v>
      </c>
      <c r="N27" s="28">
        <f t="shared" si="9"/>
        <v>0</v>
      </c>
      <c r="O27" s="28">
        <f t="shared" si="10"/>
        <v>0</v>
      </c>
      <c r="P27" s="28">
        <f t="shared" si="11"/>
        <v>0</v>
      </c>
      <c r="Q27" s="28"/>
      <c r="R27" s="28">
        <f t="shared" si="12"/>
        <v>66</v>
      </c>
      <c r="S27" s="28">
        <f t="shared" si="13"/>
        <v>3</v>
      </c>
      <c r="T27" s="28">
        <f t="shared" si="14"/>
        <v>13</v>
      </c>
      <c r="U27" s="28">
        <f t="shared" si="15"/>
        <v>0</v>
      </c>
      <c r="V27" s="28">
        <f t="shared" si="16"/>
        <v>18</v>
      </c>
      <c r="W27" s="28">
        <f t="shared" si="17"/>
        <v>8</v>
      </c>
      <c r="X27" s="28">
        <f t="shared" si="18"/>
        <v>10</v>
      </c>
      <c r="Y27" s="42">
        <v>999</v>
      </c>
      <c r="Z27" s="28">
        <f t="shared" si="19"/>
        <v>0</v>
      </c>
      <c r="AA27" s="28">
        <f t="shared" si="20"/>
        <v>0</v>
      </c>
      <c r="AB27" s="28">
        <f t="shared" si="21"/>
        <v>0</v>
      </c>
      <c r="AC27" s="28">
        <f t="shared" si="22"/>
        <v>349</v>
      </c>
      <c r="AD27" s="28">
        <f t="shared" si="23"/>
        <v>69</v>
      </c>
      <c r="AE27" s="28">
        <f t="shared" si="24"/>
        <v>2</v>
      </c>
      <c r="AF27" s="28">
        <f t="shared" si="25"/>
        <v>2</v>
      </c>
      <c r="AG27" s="28">
        <f t="shared" si="26"/>
        <v>12</v>
      </c>
      <c r="AH27" s="28">
        <f t="shared" si="27"/>
        <v>1800</v>
      </c>
      <c r="AI27" s="29"/>
      <c r="AJ27" s="29"/>
      <c r="AK27" s="29"/>
      <c r="AL27" s="29"/>
      <c r="AM27" s="27">
        <f t="shared" si="28"/>
        <v>0</v>
      </c>
    </row>
    <row r="28" ht="20.1" customHeight="1" spans="1:39">
      <c r="A28" s="25" t="s">
        <v>63</v>
      </c>
      <c r="B28" s="31" t="s">
        <v>64</v>
      </c>
      <c r="C28" s="31">
        <v>2200</v>
      </c>
      <c r="D28" s="27">
        <f t="shared" si="0"/>
        <v>2200</v>
      </c>
      <c r="E28" s="43">
        <f t="shared" si="1"/>
        <v>0</v>
      </c>
      <c r="F28" s="43"/>
      <c r="G28" s="43"/>
      <c r="H28" s="43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44"/>
      <c r="AJ28" s="44"/>
      <c r="AK28" s="44"/>
      <c r="AL28" s="45">
        <v>2200</v>
      </c>
      <c r="AM28" s="44"/>
    </row>
    <row r="29" ht="20.1" customHeight="1" spans="1:39">
      <c r="A29" s="25" t="s">
        <v>65</v>
      </c>
      <c r="B29" s="26" t="s">
        <v>20</v>
      </c>
      <c r="C29" s="26">
        <v>2862</v>
      </c>
      <c r="D29" s="27">
        <f t="shared" si="0"/>
        <v>2862</v>
      </c>
      <c r="E29" s="41">
        <f t="shared" si="1"/>
        <v>17</v>
      </c>
      <c r="F29" s="41">
        <f>ROUND($F$37*F62,0)</f>
        <v>6</v>
      </c>
      <c r="G29" s="41">
        <f>ROUND($G$37*G62,0)</f>
        <v>2</v>
      </c>
      <c r="H29" s="41">
        <f>ROUND($H$37*H62,0)</f>
        <v>3</v>
      </c>
      <c r="I29" s="28">
        <v>438</v>
      </c>
      <c r="J29" s="28">
        <v>11</v>
      </c>
      <c r="K29" s="28">
        <v>11</v>
      </c>
      <c r="L29" s="28"/>
      <c r="M29" s="28">
        <v>22</v>
      </c>
      <c r="N29" s="28">
        <v>0</v>
      </c>
      <c r="O29" s="28">
        <v>0</v>
      </c>
      <c r="P29" s="28">
        <v>0</v>
      </c>
      <c r="Q29" s="28"/>
      <c r="R29" s="28">
        <v>66</v>
      </c>
      <c r="S29" s="28">
        <v>3</v>
      </c>
      <c r="T29" s="28">
        <v>13</v>
      </c>
      <c r="U29" s="28">
        <v>0</v>
      </c>
      <c r="V29" s="28">
        <v>18</v>
      </c>
      <c r="W29" s="28">
        <v>8</v>
      </c>
      <c r="X29" s="28">
        <v>10</v>
      </c>
      <c r="Y29" s="28"/>
      <c r="Z29" s="28">
        <v>0</v>
      </c>
      <c r="AA29" s="28">
        <v>0</v>
      </c>
      <c r="AB29" s="28">
        <v>0</v>
      </c>
      <c r="AC29" s="28">
        <v>349</v>
      </c>
      <c r="AD29" s="28">
        <v>69</v>
      </c>
      <c r="AE29" s="28">
        <v>2</v>
      </c>
      <c r="AF29" s="28">
        <v>2</v>
      </c>
      <c r="AG29" s="28">
        <v>12</v>
      </c>
      <c r="AH29" s="28">
        <v>1800</v>
      </c>
      <c r="AI29" s="44"/>
      <c r="AJ29" s="44"/>
      <c r="AK29" s="44"/>
      <c r="AL29" s="45">
        <v>0</v>
      </c>
      <c r="AM29" s="46">
        <v>2862</v>
      </c>
    </row>
    <row r="30" ht="20.1" customHeight="1" spans="1:39">
      <c r="A30" s="25" t="s">
        <v>66</v>
      </c>
      <c r="B30" s="30" t="s">
        <v>67</v>
      </c>
      <c r="C30" s="30">
        <v>3155</v>
      </c>
      <c r="D30" s="27">
        <f t="shared" si="0"/>
        <v>3155</v>
      </c>
      <c r="E30" s="29">
        <f t="shared" si="1"/>
        <v>0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45">
        <v>3155</v>
      </c>
      <c r="AJ30" s="44"/>
      <c r="AK30" s="44"/>
      <c r="AL30" s="44"/>
      <c r="AM30" s="44"/>
    </row>
    <row r="31" ht="20.1" customHeight="1" spans="1:39">
      <c r="A31" s="25" t="s">
        <v>68</v>
      </c>
      <c r="B31" s="30" t="s">
        <v>69</v>
      </c>
      <c r="C31" s="30">
        <v>0</v>
      </c>
      <c r="D31" s="27">
        <f t="shared" si="0"/>
        <v>0</v>
      </c>
      <c r="E31" s="29">
        <f t="shared" si="1"/>
        <v>0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45">
        <v>0</v>
      </c>
      <c r="AJ31" s="44"/>
      <c r="AK31" s="44"/>
      <c r="AL31" s="44"/>
      <c r="AM31" s="44"/>
    </row>
    <row r="32" ht="20.1" customHeight="1" spans="1:39">
      <c r="A32" s="25" t="s">
        <v>70</v>
      </c>
      <c r="B32" s="26" t="s">
        <v>18</v>
      </c>
      <c r="C32" s="26">
        <v>15718</v>
      </c>
      <c r="D32" s="27">
        <f t="shared" si="0"/>
        <v>15718</v>
      </c>
      <c r="E32" s="29">
        <f t="shared" si="1"/>
        <v>0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44"/>
      <c r="AJ32" s="44"/>
      <c r="AK32" s="45">
        <v>15718</v>
      </c>
      <c r="AL32" s="44"/>
      <c r="AM32" s="44"/>
    </row>
    <row r="33" ht="20.1" customHeight="1" spans="1:40">
      <c r="A33" s="25" t="s">
        <v>71</v>
      </c>
      <c r="B33" s="26" t="s">
        <v>17</v>
      </c>
      <c r="C33" s="26">
        <v>5550</v>
      </c>
      <c r="D33" s="27">
        <f t="shared" si="0"/>
        <v>5550</v>
      </c>
      <c r="E33" s="29">
        <f t="shared" si="1"/>
        <v>0</v>
      </c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44"/>
      <c r="AJ33" s="45">
        <v>5550</v>
      </c>
      <c r="AK33" s="44"/>
      <c r="AL33" s="44"/>
      <c r="AM33" s="44"/>
    </row>
    <row r="34" ht="20.1" customHeight="1" spans="1:40">
      <c r="A34" s="25"/>
      <c r="B34" s="33"/>
      <c r="C34" s="33"/>
      <c r="D34" s="34"/>
      <c r="E34" s="35"/>
      <c r="F34" s="35"/>
      <c r="G34" s="35"/>
      <c r="H34" s="35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5"/>
      <c r="T34" s="35"/>
      <c r="U34" s="35"/>
      <c r="V34" s="35"/>
      <c r="W34" s="35"/>
      <c r="X34" s="35"/>
      <c r="Y34" s="35"/>
      <c r="Z34" s="35"/>
      <c r="AA34" s="35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</row>
    <row r="35" ht="20.1" customHeight="1" spans="1:40">
      <c r="A35" s="37" t="s">
        <v>72</v>
      </c>
      <c r="B35" s="38"/>
      <c r="C35" s="38">
        <v>225028</v>
      </c>
      <c r="D35" s="27">
        <f t="shared" ref="D35:AL35" si="29">SUM(D7:D33)</f>
        <v>225565</v>
      </c>
      <c r="E35" s="27">
        <f t="shared" si="29"/>
        <v>19014</v>
      </c>
      <c r="F35" s="27">
        <f t="shared" si="29"/>
        <v>6465</v>
      </c>
      <c r="G35" s="27">
        <f t="shared" si="29"/>
        <v>2283</v>
      </c>
      <c r="H35" s="27">
        <f t="shared" si="29"/>
        <v>3931</v>
      </c>
      <c r="I35" s="27">
        <f t="shared" si="29"/>
        <v>47431</v>
      </c>
      <c r="J35" s="27">
        <f t="shared" si="29"/>
        <v>1188</v>
      </c>
      <c r="K35" s="27">
        <f t="shared" si="29"/>
        <v>1187</v>
      </c>
      <c r="L35" s="27">
        <f t="shared" si="29"/>
        <v>0</v>
      </c>
      <c r="M35" s="27">
        <f t="shared" si="29"/>
        <v>2431</v>
      </c>
      <c r="N35" s="27">
        <f t="shared" si="29"/>
        <v>207</v>
      </c>
      <c r="O35" s="27">
        <f t="shared" si="29"/>
        <v>13</v>
      </c>
      <c r="P35" s="27">
        <f t="shared" si="29"/>
        <v>139</v>
      </c>
      <c r="Q35" s="27">
        <f t="shared" si="29"/>
        <v>0</v>
      </c>
      <c r="R35" s="27">
        <f t="shared" si="29"/>
        <v>6763</v>
      </c>
      <c r="S35" s="27">
        <f t="shared" si="29"/>
        <v>440</v>
      </c>
      <c r="T35" s="27">
        <f t="shared" si="29"/>
        <v>2190</v>
      </c>
      <c r="U35" s="27">
        <f t="shared" si="29"/>
        <v>71</v>
      </c>
      <c r="V35" s="27">
        <f t="shared" si="29"/>
        <v>2997</v>
      </c>
      <c r="W35" s="27">
        <f t="shared" si="29"/>
        <v>1316</v>
      </c>
      <c r="X35" s="27">
        <f t="shared" si="29"/>
        <v>1752</v>
      </c>
      <c r="Y35" s="27">
        <f t="shared" si="29"/>
        <v>20937</v>
      </c>
      <c r="Z35" s="27">
        <f t="shared" si="29"/>
        <v>5913</v>
      </c>
      <c r="AA35" s="27">
        <f t="shared" si="29"/>
        <v>23655</v>
      </c>
      <c r="AB35" s="27">
        <f t="shared" si="29"/>
        <v>727</v>
      </c>
      <c r="AC35" s="27">
        <f t="shared" si="29"/>
        <v>14869</v>
      </c>
      <c r="AD35" s="27">
        <f t="shared" si="29"/>
        <v>4143</v>
      </c>
      <c r="AE35" s="27">
        <f t="shared" si="29"/>
        <v>2073</v>
      </c>
      <c r="AF35" s="27">
        <f t="shared" si="29"/>
        <v>1632</v>
      </c>
      <c r="AG35" s="27">
        <f t="shared" si="29"/>
        <v>11108</v>
      </c>
      <c r="AH35" s="27">
        <f t="shared" si="29"/>
        <v>14067</v>
      </c>
      <c r="AI35" s="27">
        <f t="shared" si="29"/>
        <v>3155</v>
      </c>
      <c r="AJ35" s="27">
        <f t="shared" si="29"/>
        <v>5550</v>
      </c>
      <c r="AK35" s="27">
        <f t="shared" si="29"/>
        <v>15718</v>
      </c>
      <c r="AL35" s="27">
        <f t="shared" si="29"/>
        <v>2200</v>
      </c>
      <c r="AM35" s="27">
        <f>D35-SUM(E35:AL35)</f>
        <v>0</v>
      </c>
    </row>
    <row r="36" spans="1:40">
      <c r="B36" s="3">
        <v>2025</v>
      </c>
      <c r="D36" s="3">
        <f t="shared" ref="D36:D39" si="30">SUM(E36:AM36)</f>
        <v>227028</v>
      </c>
      <c r="E36" s="3">
        <v>31689</v>
      </c>
      <c r="I36" s="3">
        <v>59970</v>
      </c>
      <c r="S36" s="3">
        <v>8716</v>
      </c>
      <c r="Y36" s="3">
        <v>20937</v>
      </c>
      <c r="Z36" s="3">
        <v>29567</v>
      </c>
      <c r="AB36" s="3">
        <v>728</v>
      </c>
      <c r="AC36" s="3">
        <v>14564</v>
      </c>
      <c r="AD36" s="3">
        <v>4080</v>
      </c>
      <c r="AE36" s="3">
        <v>14799</v>
      </c>
      <c r="AH36" s="3">
        <v>12493</v>
      </c>
      <c r="AI36" s="3">
        <v>3155</v>
      </c>
      <c r="AJ36" s="3">
        <v>5550</v>
      </c>
      <c r="AK36" s="3">
        <v>15718</v>
      </c>
      <c r="AL36" s="3">
        <v>2200</v>
      </c>
      <c r="AM36" s="3">
        <v>2862</v>
      </c>
    </row>
    <row r="37" spans="1:40">
      <c r="D37" s="3">
        <f t="shared" si="30"/>
        <v>227027.501411945</v>
      </c>
      <c r="E37" s="3">
        <f>$E$36/$E$38*E39</f>
        <v>19013.4</v>
      </c>
      <c r="F37" s="3">
        <f>$E$36/$E$38*F39</f>
        <v>6464.556</v>
      </c>
      <c r="G37" s="3">
        <f>$E$36/$E$38*G39</f>
        <v>2281.608</v>
      </c>
      <c r="H37" s="3">
        <f>$E$36/$E$38*H39</f>
        <v>3929.16717577197</v>
      </c>
      <c r="I37" s="3">
        <f t="shared" ref="I37:R37" si="31">$I$36/$I$38*I39</f>
        <v>47920.0360964396</v>
      </c>
      <c r="J37" s="3">
        <f t="shared" si="31"/>
        <v>1199.56411701924</v>
      </c>
      <c r="K37" s="3">
        <f t="shared" si="31"/>
        <v>1199.4</v>
      </c>
      <c r="L37" s="3">
        <f t="shared" si="31"/>
        <v>0</v>
      </c>
      <c r="M37" s="3">
        <f t="shared" si="31"/>
        <v>2454.14025888728</v>
      </c>
      <c r="N37" s="3">
        <f t="shared" si="31"/>
        <v>206.787444240716</v>
      </c>
      <c r="O37" s="3">
        <f t="shared" si="31"/>
        <v>13.1293615390931</v>
      </c>
      <c r="P37" s="3">
        <f t="shared" si="31"/>
        <v>140.320051449057</v>
      </c>
      <c r="Q37" s="3">
        <f t="shared" si="31"/>
        <v>0</v>
      </c>
      <c r="R37" s="3">
        <f t="shared" si="31"/>
        <v>6836.39290659807</v>
      </c>
      <c r="S37" s="3">
        <f t="shared" ref="S37:X37" si="32">$S$36/$S$38*S39</f>
        <v>435.8</v>
      </c>
      <c r="T37" s="3">
        <f t="shared" si="32"/>
        <v>2179</v>
      </c>
      <c r="U37" s="3">
        <f t="shared" si="32"/>
        <v>70.6439351593069</v>
      </c>
      <c r="V37" s="3">
        <f t="shared" si="32"/>
        <v>2979.95606484069</v>
      </c>
      <c r="W37" s="3">
        <f t="shared" si="32"/>
        <v>1307.4</v>
      </c>
      <c r="X37" s="3">
        <f t="shared" si="32"/>
        <v>1743.2</v>
      </c>
      <c r="Y37" s="3">
        <f>$Y$36/$Y$38*Y39</f>
        <v>20937</v>
      </c>
      <c r="Z37" s="3">
        <f>$Z$36/$Z$38*Z39</f>
        <v>5913.4</v>
      </c>
      <c r="AA37" s="3">
        <f>$Z$36/$Z$38*AA39</f>
        <v>23653.6</v>
      </c>
      <c r="AB37" s="3">
        <f t="shared" ref="AB37:AD37" si="33">AB36/AB38*AB39</f>
        <v>728</v>
      </c>
      <c r="AC37" s="3">
        <f t="shared" si="33"/>
        <v>14564</v>
      </c>
      <c r="AD37" s="3">
        <f t="shared" si="33"/>
        <v>4080</v>
      </c>
      <c r="AE37" s="3">
        <f t="shared" ref="AE37:AG37" si="34">$AE$36/$AE$38*AE39</f>
        <v>2071.4058757825</v>
      </c>
      <c r="AF37" s="3">
        <f t="shared" si="34"/>
        <v>1628.04137473917</v>
      </c>
      <c r="AG37" s="3">
        <f t="shared" si="34"/>
        <v>11099.5527494783</v>
      </c>
      <c r="AH37" s="3">
        <f t="shared" ref="AH37:AL37" si="35">AH36/AH38*AH39</f>
        <v>12493</v>
      </c>
      <c r="AI37" s="3">
        <f t="shared" si="35"/>
        <v>3155</v>
      </c>
      <c r="AJ37" s="3">
        <f t="shared" si="35"/>
        <v>5550</v>
      </c>
      <c r="AK37" s="3">
        <f t="shared" si="35"/>
        <v>15718</v>
      </c>
      <c r="AL37" s="3">
        <f t="shared" si="35"/>
        <v>2200</v>
      </c>
      <c r="AM37" s="3">
        <v>2862</v>
      </c>
    </row>
    <row r="38" spans="1:40">
      <c r="B38" s="3">
        <v>2024</v>
      </c>
      <c r="D38" s="3">
        <f t="shared" si="30"/>
        <v>245080</v>
      </c>
      <c r="E38" s="3">
        <v>23576</v>
      </c>
      <c r="I38" s="3">
        <v>73082</v>
      </c>
      <c r="S38" s="3">
        <v>7156</v>
      </c>
      <c r="Y38" s="3">
        <v>16069</v>
      </c>
      <c r="Z38" s="3">
        <v>30447</v>
      </c>
      <c r="AB38" s="3">
        <v>919</v>
      </c>
      <c r="AC38" s="3">
        <v>25785</v>
      </c>
      <c r="AD38" s="3">
        <v>4574</v>
      </c>
      <c r="AE38" s="3">
        <v>24441</v>
      </c>
      <c r="AH38" s="3">
        <v>7477</v>
      </c>
      <c r="AI38" s="3">
        <v>5610</v>
      </c>
      <c r="AJ38" s="3">
        <v>2414</v>
      </c>
      <c r="AK38" s="3">
        <v>19316</v>
      </c>
      <c r="AL38" s="3">
        <v>4214</v>
      </c>
      <c r="AM38" s="3">
        <v>0</v>
      </c>
    </row>
    <row r="39" spans="1:40">
      <c r="D39" s="3">
        <f t="shared" si="30"/>
        <v>245079.52</v>
      </c>
      <c r="E39" s="3">
        <v>14145.6</v>
      </c>
      <c r="F39" s="3">
        <v>4809.504</v>
      </c>
      <c r="G39" s="3">
        <v>1697.472</v>
      </c>
      <c r="H39" s="3">
        <v>2923.224</v>
      </c>
      <c r="I39" s="3">
        <v>58397.4</v>
      </c>
      <c r="J39" s="3">
        <v>1461.84</v>
      </c>
      <c r="K39" s="3">
        <v>1461.64</v>
      </c>
      <c r="L39" s="3">
        <v>0</v>
      </c>
      <c r="M39" s="3">
        <v>2990.72</v>
      </c>
      <c r="N39" s="3">
        <v>252</v>
      </c>
      <c r="O39" s="3">
        <v>16</v>
      </c>
      <c r="P39" s="3">
        <v>171</v>
      </c>
      <c r="Q39" s="3">
        <v>0</v>
      </c>
      <c r="R39" s="3">
        <v>8331.12</v>
      </c>
      <c r="S39" s="3">
        <v>357.8</v>
      </c>
      <c r="T39" s="3">
        <v>1789</v>
      </c>
      <c r="U39" s="3">
        <v>58</v>
      </c>
      <c r="V39" s="3">
        <v>2446.6</v>
      </c>
      <c r="W39" s="3">
        <v>1073.4</v>
      </c>
      <c r="X39" s="3">
        <v>1431.2</v>
      </c>
      <c r="Y39" s="3">
        <v>16069</v>
      </c>
      <c r="Z39" s="3">
        <v>6089.4</v>
      </c>
      <c r="AA39" s="3">
        <v>24357.6</v>
      </c>
      <c r="AB39" s="3">
        <v>919</v>
      </c>
      <c r="AC39" s="3">
        <v>25785</v>
      </c>
      <c r="AD39" s="3">
        <v>4574</v>
      </c>
      <c r="AE39" s="3">
        <v>3420.99</v>
      </c>
      <c r="AF39" s="3">
        <v>2688.76</v>
      </c>
      <c r="AG39" s="3">
        <v>18331.25</v>
      </c>
      <c r="AH39" s="3">
        <v>7477</v>
      </c>
      <c r="AI39" s="3">
        <v>5610</v>
      </c>
      <c r="AJ39" s="3">
        <v>2414</v>
      </c>
      <c r="AK39" s="3">
        <v>19316</v>
      </c>
      <c r="AL39" s="3">
        <v>4214</v>
      </c>
      <c r="AM39" s="3">
        <v>0</v>
      </c>
      <c r="AN39" s="3">
        <v>0</v>
      </c>
    </row>
    <row r="40" spans="1:40">
      <c r="E40" s="3">
        <v>0.0924244994910078</v>
      </c>
      <c r="F40" s="3">
        <v>0.0924244994910078</v>
      </c>
      <c r="G40" s="3">
        <v>0.0924244994910078</v>
      </c>
      <c r="H40" s="3">
        <v>0.0924308229543819</v>
      </c>
      <c r="I40" s="3">
        <v>0.256018247387726</v>
      </c>
      <c r="J40" s="3">
        <v>0.266869151206698</v>
      </c>
      <c r="K40" s="3">
        <v>0.266905667606251</v>
      </c>
      <c r="L40" s="3" t="e">
        <v>#DIV/0!</v>
      </c>
      <c r="M40" s="3">
        <v>0.270155681575005</v>
      </c>
      <c r="N40" s="3">
        <v>0.412698412698413</v>
      </c>
      <c r="O40" s="3">
        <v>0.625</v>
      </c>
      <c r="P40" s="3">
        <v>0.415204678362573</v>
      </c>
      <c r="Q40" s="3" t="e">
        <v>#DIV/0!</v>
      </c>
      <c r="R40" s="3">
        <v>0.213896810993</v>
      </c>
      <c r="S40" s="3">
        <v>0.0796534376746786</v>
      </c>
      <c r="T40" s="3">
        <v>0.0796534376746786</v>
      </c>
      <c r="U40" s="3">
        <v>0</v>
      </c>
      <c r="V40" s="3">
        <v>0.0815417313823265</v>
      </c>
      <c r="W40" s="3">
        <v>0.0796534376746786</v>
      </c>
      <c r="X40" s="3">
        <v>0.0796534376746786</v>
      </c>
      <c r="Y40" s="3">
        <v>0.125956811251478</v>
      </c>
      <c r="Z40" s="3">
        <v>0.131375833415443</v>
      </c>
      <c r="AA40" s="3">
        <v>0.131375833415443</v>
      </c>
      <c r="AB40" s="3">
        <v>0.198041349292709</v>
      </c>
      <c r="AC40" s="3">
        <v>0.0187706030637968</v>
      </c>
      <c r="AD40" s="3">
        <v>0</v>
      </c>
      <c r="AE40" s="3">
        <v>0.382760545923841</v>
      </c>
      <c r="AF40" s="3">
        <v>0.382641068745444</v>
      </c>
      <c r="AG40" s="3">
        <v>0.382666212069553</v>
      </c>
      <c r="AH40" s="3">
        <v>0.13374348000535</v>
      </c>
      <c r="AI40" s="3">
        <v>0</v>
      </c>
      <c r="AJ40" s="3">
        <v>0</v>
      </c>
      <c r="AK40" s="3">
        <v>0</v>
      </c>
      <c r="AL40" s="3">
        <v>0</v>
      </c>
      <c r="AM40" s="3" t="e">
        <v>#DIV/0!</v>
      </c>
    </row>
    <row r="41" spans="1:40"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 t="e">
        <v>#DIV/0!</v>
      </c>
      <c r="M41" s="3">
        <v>0</v>
      </c>
      <c r="N41" s="3">
        <v>0</v>
      </c>
      <c r="O41" s="3">
        <v>0</v>
      </c>
      <c r="P41" s="3">
        <v>0</v>
      </c>
      <c r="Q41" s="3" t="e">
        <v>#DIV/0!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 t="e">
        <v>#DIV/0!</v>
      </c>
    </row>
    <row r="42" spans="1:40"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 t="e">
        <v>#DIV/0!</v>
      </c>
      <c r="M42" s="3">
        <v>0</v>
      </c>
      <c r="N42" s="3">
        <v>0</v>
      </c>
      <c r="O42" s="3">
        <v>0</v>
      </c>
      <c r="P42" s="3">
        <v>0</v>
      </c>
      <c r="Q42" s="3" t="e">
        <v>#DIV/0!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 t="e">
        <v>#DIV/0!</v>
      </c>
    </row>
    <row r="43" spans="1:40">
      <c r="E43" s="3">
        <v>0.00644723447573804</v>
      </c>
      <c r="F43" s="3">
        <v>0.00644723447573804</v>
      </c>
      <c r="G43" s="3">
        <v>0.00644723447573804</v>
      </c>
      <c r="H43" s="3">
        <v>0.00644767558011292</v>
      </c>
      <c r="I43" s="3">
        <v>0.0083017394610034</v>
      </c>
      <c r="J43" s="3">
        <v>0.00829092103102939</v>
      </c>
      <c r="K43" s="3">
        <v>0.00829205549930215</v>
      </c>
      <c r="L43" s="3" t="e">
        <v>#DIV/0!</v>
      </c>
      <c r="M43" s="3">
        <v>0.00810507168842286</v>
      </c>
      <c r="N43" s="3">
        <v>0</v>
      </c>
      <c r="O43" s="3">
        <v>0</v>
      </c>
      <c r="P43" s="3">
        <v>0</v>
      </c>
      <c r="Q43" s="3" t="e">
        <v>#DIV/0!</v>
      </c>
      <c r="R43" s="3">
        <v>0.00872871834759312</v>
      </c>
      <c r="S43" s="3">
        <v>0.00544997205142538</v>
      </c>
      <c r="T43" s="3">
        <v>0.00544997205142538</v>
      </c>
      <c r="U43" s="3">
        <v>0</v>
      </c>
      <c r="V43" s="3">
        <v>0.00557917109458023</v>
      </c>
      <c r="W43" s="3">
        <v>0.00544997205142538</v>
      </c>
      <c r="X43" s="3">
        <v>0.00544997205142538</v>
      </c>
      <c r="Y43" s="3">
        <v>0.0132553363619391</v>
      </c>
      <c r="Z43" s="3">
        <v>0</v>
      </c>
      <c r="AA43" s="3">
        <v>0</v>
      </c>
      <c r="AB43" s="3">
        <v>0</v>
      </c>
      <c r="AC43" s="3">
        <v>0.0217568353694008</v>
      </c>
      <c r="AD43" s="3">
        <v>0.015085264538697</v>
      </c>
      <c r="AE43" s="3">
        <v>0.000876939131654872</v>
      </c>
      <c r="AF43" s="3">
        <v>0.0009818652464333</v>
      </c>
      <c r="AG43" s="3">
        <v>0.000981929764745994</v>
      </c>
      <c r="AH43" s="3">
        <v>0.130667379965227</v>
      </c>
      <c r="AI43" s="3">
        <v>0</v>
      </c>
      <c r="AJ43" s="3">
        <v>0</v>
      </c>
      <c r="AK43" s="3">
        <v>0</v>
      </c>
      <c r="AL43" s="3">
        <v>0</v>
      </c>
      <c r="AM43" s="3" t="e">
        <v>#DIV/0!</v>
      </c>
    </row>
    <row r="44" spans="1:40">
      <c r="E44" s="3">
        <v>0.0841109602986087</v>
      </c>
      <c r="F44" s="3">
        <v>0.0841109602986087</v>
      </c>
      <c r="G44" s="3">
        <v>0.0841109602986088</v>
      </c>
      <c r="H44" s="3">
        <v>0.0841167149694994</v>
      </c>
      <c r="I44" s="3">
        <v>0.108563052464665</v>
      </c>
      <c r="J44" s="3">
        <v>0.1091911563509</v>
      </c>
      <c r="K44" s="3">
        <v>0.109206097260611</v>
      </c>
      <c r="L44" s="3" t="e">
        <v>#DIV/0!</v>
      </c>
      <c r="M44" s="3">
        <v>0.106743526642414</v>
      </c>
      <c r="N44" s="3">
        <v>0.0753968253968254</v>
      </c>
      <c r="O44" s="3">
        <v>0.375</v>
      </c>
      <c r="P44" s="3">
        <v>0.116959064327485</v>
      </c>
      <c r="Q44" s="3" t="e">
        <v>#DIV/0!</v>
      </c>
      <c r="R44" s="3">
        <v>0.114956932561288</v>
      </c>
      <c r="S44" s="3">
        <v>0.0725265511458916</v>
      </c>
      <c r="T44" s="3">
        <v>0.0725265511458916</v>
      </c>
      <c r="U44" s="3">
        <v>0</v>
      </c>
      <c r="V44" s="3">
        <v>0.0742458922586447</v>
      </c>
      <c r="W44" s="3">
        <v>0.0725265511458915</v>
      </c>
      <c r="X44" s="3">
        <v>0.0725265511458916</v>
      </c>
      <c r="Y44" s="3">
        <v>0.175182027506379</v>
      </c>
      <c r="Z44" s="3">
        <v>0.2577593851611</v>
      </c>
      <c r="AA44" s="3">
        <v>0.2577593851611</v>
      </c>
      <c r="AB44" s="3">
        <v>0.165397170837867</v>
      </c>
      <c r="AC44" s="3">
        <v>0.287415163854954</v>
      </c>
      <c r="AD44" s="3">
        <v>0.20048097944906</v>
      </c>
      <c r="AE44" s="3">
        <v>0.176709081289334</v>
      </c>
      <c r="AF44" s="3">
        <v>0.176653922254125</v>
      </c>
      <c r="AG44" s="3">
        <v>0.176665530173883</v>
      </c>
      <c r="AH44" s="3">
        <v>0.121706566804868</v>
      </c>
      <c r="AI44" s="3">
        <v>0</v>
      </c>
      <c r="AJ44" s="3">
        <v>0</v>
      </c>
      <c r="AK44" s="3">
        <v>0</v>
      </c>
      <c r="AL44" s="3">
        <v>0</v>
      </c>
      <c r="AM44" s="3" t="e">
        <v>#DIV/0!</v>
      </c>
    </row>
    <row r="45" spans="1:40">
      <c r="E45" s="3">
        <v>0.0500084832032575</v>
      </c>
      <c r="F45" s="3">
        <v>0.0500084832032575</v>
      </c>
      <c r="G45" s="3">
        <v>0.0500084832032576</v>
      </c>
      <c r="H45" s="3">
        <v>0.0500119046641653</v>
      </c>
      <c r="I45" s="3">
        <v>0.00982920472486789</v>
      </c>
      <c r="J45" s="3">
        <v>0.00985059924478739</v>
      </c>
      <c r="K45" s="3">
        <v>0.00985194712788375</v>
      </c>
      <c r="L45" s="3" t="e">
        <v>#DIV/0!</v>
      </c>
      <c r="M45" s="3">
        <v>0.00962978814466082</v>
      </c>
      <c r="N45" s="3">
        <v>0</v>
      </c>
      <c r="O45" s="3">
        <v>0</v>
      </c>
      <c r="P45" s="3">
        <v>0.0116959064327485</v>
      </c>
      <c r="Q45" s="3" t="e">
        <v>#DIV/0!</v>
      </c>
      <c r="R45" s="3">
        <v>0.0103707544723879</v>
      </c>
      <c r="S45" s="3">
        <v>0.00656791503633315</v>
      </c>
      <c r="T45" s="3">
        <v>0.00656791503633315</v>
      </c>
      <c r="U45" s="3">
        <v>0</v>
      </c>
      <c r="V45" s="3">
        <v>0.00672361644731464</v>
      </c>
      <c r="W45" s="3">
        <v>0.00656791503633315</v>
      </c>
      <c r="X45" s="3">
        <v>0.00656791503633315</v>
      </c>
      <c r="Y45" s="3">
        <v>0.0157446014064348</v>
      </c>
      <c r="Z45" s="3">
        <v>0</v>
      </c>
      <c r="AA45" s="3">
        <v>0</v>
      </c>
      <c r="AB45" s="3">
        <v>0</v>
      </c>
      <c r="AC45" s="3">
        <v>0.0258677525693232</v>
      </c>
      <c r="AD45" s="3">
        <v>0.0179274158285964</v>
      </c>
      <c r="AE45" s="3">
        <v>0.00114586713202903</v>
      </c>
      <c r="AF45" s="3">
        <v>0.00114550945417218</v>
      </c>
      <c r="AG45" s="3">
        <v>0.00114558472553699</v>
      </c>
      <c r="AH45" s="3">
        <v>0.0216664437608667</v>
      </c>
      <c r="AI45" s="3">
        <v>0</v>
      </c>
      <c r="AJ45" s="3">
        <v>0</v>
      </c>
      <c r="AK45" s="3">
        <v>0</v>
      </c>
      <c r="AL45" s="3">
        <v>0</v>
      </c>
      <c r="AM45" s="3" t="e">
        <v>#DIV/0!</v>
      </c>
    </row>
    <row r="46" spans="1:40">
      <c r="E46" s="3">
        <v>0.0521292840176451</v>
      </c>
      <c r="F46" s="3">
        <v>0.0521292840176451</v>
      </c>
      <c r="G46" s="3">
        <v>0.0521292840176451</v>
      </c>
      <c r="H46" s="3">
        <v>0.0521328505786761</v>
      </c>
      <c r="I46" s="3">
        <v>0.0125793271618257</v>
      </c>
      <c r="J46" s="3">
        <v>0.0126142395884639</v>
      </c>
      <c r="K46" s="3">
        <v>0.0126159656276511</v>
      </c>
      <c r="L46" s="3" t="e">
        <v>#DIV/0!</v>
      </c>
      <c r="M46" s="3">
        <v>0.0123314787074684</v>
      </c>
      <c r="N46" s="3">
        <v>0</v>
      </c>
      <c r="O46" s="3">
        <v>0</v>
      </c>
      <c r="P46" s="3">
        <v>0.0175438596491228</v>
      </c>
      <c r="Q46" s="3" t="e">
        <v>#DIV/0!</v>
      </c>
      <c r="R46" s="3">
        <v>0.0132803272549189</v>
      </c>
      <c r="S46" s="3">
        <v>0.00838457238680827</v>
      </c>
      <c r="T46" s="3">
        <v>0.00838457238680827</v>
      </c>
      <c r="U46" s="3">
        <v>0</v>
      </c>
      <c r="V46" s="3">
        <v>0.00858334014550805</v>
      </c>
      <c r="W46" s="3">
        <v>0.00838457238680827</v>
      </c>
      <c r="X46" s="3">
        <v>0.00838457238680827</v>
      </c>
      <c r="Y46" s="3">
        <v>0.0202252784865269</v>
      </c>
      <c r="Z46" s="3">
        <v>0</v>
      </c>
      <c r="AA46" s="3">
        <v>0</v>
      </c>
      <c r="AB46" s="3">
        <v>0</v>
      </c>
      <c r="AC46" s="3">
        <v>0.0331588132635253</v>
      </c>
      <c r="AD46" s="3">
        <v>0.0229558373414954</v>
      </c>
      <c r="AE46" s="3">
        <v>0.00147325774118018</v>
      </c>
      <c r="AF46" s="3">
        <v>0.00147279786964995</v>
      </c>
      <c r="AG46" s="3">
        <v>0.00147289464711899</v>
      </c>
      <c r="AH46" s="3">
        <v>0.0658017921626321</v>
      </c>
      <c r="AI46" s="3">
        <v>0</v>
      </c>
      <c r="AJ46" s="3">
        <v>0</v>
      </c>
      <c r="AK46" s="3">
        <v>0</v>
      </c>
      <c r="AL46" s="3">
        <v>0</v>
      </c>
      <c r="AM46" s="3" t="e">
        <v>#DIV/0!</v>
      </c>
    </row>
    <row r="47" spans="1:40">
      <c r="E47" s="3">
        <v>0.0834747200542925</v>
      </c>
      <c r="F47" s="3">
        <v>0.0834747200542925</v>
      </c>
      <c r="G47" s="3">
        <v>0.0834747200542925</v>
      </c>
      <c r="H47" s="3">
        <v>0.0834804311951462</v>
      </c>
      <c r="I47" s="3">
        <v>0.0801748023028423</v>
      </c>
      <c r="J47" s="3">
        <v>0.0807885951950966</v>
      </c>
      <c r="K47" s="3">
        <v>0.0807996497085466</v>
      </c>
      <c r="L47" s="3" t="e">
        <v>#DIV/0!</v>
      </c>
      <c r="M47" s="3">
        <v>0.0789776374919752</v>
      </c>
      <c r="N47" s="3">
        <v>0.0833333333333333</v>
      </c>
      <c r="O47" s="3">
        <v>0</v>
      </c>
      <c r="P47" s="3">
        <v>0.12280701754386</v>
      </c>
      <c r="Q47" s="3" t="e">
        <v>#DIV/0!</v>
      </c>
      <c r="R47" s="3">
        <v>0.0850545904992366</v>
      </c>
      <c r="S47" s="3">
        <v>0.0536612632755729</v>
      </c>
      <c r="T47" s="3">
        <v>0.0536612632755729</v>
      </c>
      <c r="U47" s="3">
        <v>0</v>
      </c>
      <c r="V47" s="3">
        <v>0.0549333769312515</v>
      </c>
      <c r="W47" s="3">
        <v>0.0536612632755729</v>
      </c>
      <c r="X47" s="3">
        <v>0.0536612632755729</v>
      </c>
      <c r="Y47" s="3">
        <v>0.129628477192109</v>
      </c>
      <c r="Z47" s="3">
        <v>0.278122639340493</v>
      </c>
      <c r="AA47" s="3">
        <v>0.278122639340493</v>
      </c>
      <c r="AB47" s="3">
        <v>0.0348204570184984</v>
      </c>
      <c r="AC47" s="3">
        <v>0</v>
      </c>
      <c r="AD47" s="3">
        <v>0.14844774814167</v>
      </c>
      <c r="AE47" s="3">
        <v>0.23404336171693</v>
      </c>
      <c r="AF47" s="3">
        <v>0.233970306014668</v>
      </c>
      <c r="AG47" s="3">
        <v>0.233985680190931</v>
      </c>
      <c r="AH47" s="3">
        <v>0.0736926574829477</v>
      </c>
      <c r="AI47" s="3">
        <v>0</v>
      </c>
      <c r="AJ47" s="3">
        <v>0</v>
      </c>
      <c r="AK47" s="3">
        <v>0</v>
      </c>
      <c r="AL47" s="3">
        <v>0</v>
      </c>
      <c r="AM47" s="3" t="e">
        <v>#DIV/0!</v>
      </c>
    </row>
    <row r="48" spans="1:40">
      <c r="E48" s="3">
        <v>0.0472938581608415</v>
      </c>
      <c r="F48" s="3">
        <v>0.0472938581608415</v>
      </c>
      <c r="G48" s="3">
        <v>0.0472938581608415</v>
      </c>
      <c r="H48" s="3">
        <v>0.0472970938935915</v>
      </c>
      <c r="I48" s="3">
        <v>0.129766051228308</v>
      </c>
      <c r="J48" s="3">
        <v>0.129767963662234</v>
      </c>
      <c r="K48" s="3">
        <v>0.129785720149969</v>
      </c>
      <c r="L48" s="3" t="e">
        <v>#DIV/0!</v>
      </c>
      <c r="M48" s="3">
        <v>0.12685908410015</v>
      </c>
      <c r="N48" s="3">
        <v>0</v>
      </c>
      <c r="O48" s="3">
        <v>0</v>
      </c>
      <c r="P48" s="3">
        <v>0.0584795321637427</v>
      </c>
      <c r="Q48" s="3" t="e">
        <v>#DIV/0!</v>
      </c>
      <c r="R48" s="3">
        <v>0.136620286348054</v>
      </c>
      <c r="S48" s="3">
        <v>0.0406651760760201</v>
      </c>
      <c r="T48" s="3">
        <v>0.0406651760760201</v>
      </c>
      <c r="U48" s="3">
        <v>0</v>
      </c>
      <c r="V48" s="3">
        <v>0.041629199705714</v>
      </c>
      <c r="W48" s="3">
        <v>0.0406651760760201</v>
      </c>
      <c r="X48" s="3">
        <v>0.0406651760760201</v>
      </c>
      <c r="Y48" s="3">
        <v>0.0984504325098015</v>
      </c>
      <c r="Z48" s="3">
        <v>0</v>
      </c>
      <c r="AA48" s="3">
        <v>0</v>
      </c>
      <c r="AB48" s="3">
        <v>0</v>
      </c>
      <c r="AC48" s="3">
        <v>0.161528020166764</v>
      </c>
      <c r="AD48" s="3">
        <v>0.112592916484477</v>
      </c>
      <c r="AE48" s="3">
        <v>0.0891320933414012</v>
      </c>
      <c r="AF48" s="3">
        <v>0.089104271113822</v>
      </c>
      <c r="AG48" s="3">
        <v>0.0891101261506989</v>
      </c>
      <c r="AH48" s="3">
        <v>0.0341045874013642</v>
      </c>
      <c r="AI48" s="3">
        <v>0</v>
      </c>
      <c r="AJ48" s="3">
        <v>0</v>
      </c>
      <c r="AK48" s="3">
        <v>0</v>
      </c>
      <c r="AL48" s="3">
        <v>0</v>
      </c>
      <c r="AM48" s="3" t="e">
        <v>#DIV/0!</v>
      </c>
    </row>
    <row r="49" spans="5:39">
      <c r="E49" s="3">
        <v>0.0144214455378351</v>
      </c>
      <c r="F49" s="3">
        <v>0.0144214455378351</v>
      </c>
      <c r="G49" s="3">
        <v>0.0144214455378351</v>
      </c>
      <c r="H49" s="3">
        <v>0.0144224322186736</v>
      </c>
      <c r="I49" s="3">
        <v>0.0187816580875176</v>
      </c>
      <c r="J49" s="3">
        <v>0.018757182728616</v>
      </c>
      <c r="K49" s="3">
        <v>0.0187597493226786</v>
      </c>
      <c r="L49" s="3" t="e">
        <v>#DIV/0!</v>
      </c>
      <c r="M49" s="3">
        <v>0.018336721592125</v>
      </c>
      <c r="N49" s="3">
        <v>0</v>
      </c>
      <c r="O49" s="3">
        <v>0</v>
      </c>
      <c r="P49" s="3">
        <v>0</v>
      </c>
      <c r="Q49" s="3" t="e">
        <v>#DIV/0!</v>
      </c>
      <c r="R49" s="3">
        <v>0.0197476449745052</v>
      </c>
      <c r="S49" s="3">
        <v>0.291922861934041</v>
      </c>
      <c r="T49" s="3">
        <v>0.291922861934041</v>
      </c>
      <c r="U49" s="3">
        <v>0</v>
      </c>
      <c r="V49" s="3">
        <v>0.298843292732772</v>
      </c>
      <c r="W49" s="3">
        <v>0.291922861934041</v>
      </c>
      <c r="X49" s="3">
        <v>0.291922861934041</v>
      </c>
      <c r="Y49" s="3">
        <v>0.0300578754122845</v>
      </c>
      <c r="Z49" s="3">
        <v>0</v>
      </c>
      <c r="AA49" s="3">
        <v>0</v>
      </c>
      <c r="AB49" s="3">
        <v>0</v>
      </c>
      <c r="AC49" s="3">
        <v>0.0493310063990692</v>
      </c>
      <c r="AD49" s="3">
        <v>0.0343244425010931</v>
      </c>
      <c r="AE49" s="3">
        <v>0.00225081043791417</v>
      </c>
      <c r="AF49" s="3">
        <v>0.00225010785640965</v>
      </c>
      <c r="AG49" s="3">
        <v>0.00225025571087624</v>
      </c>
      <c r="AH49" s="3">
        <v>0.0288885916811555</v>
      </c>
      <c r="AI49" s="3">
        <v>0</v>
      </c>
      <c r="AJ49" s="3">
        <v>0</v>
      </c>
      <c r="AK49" s="3">
        <v>0</v>
      </c>
      <c r="AL49" s="3">
        <v>0</v>
      </c>
      <c r="AM49" s="3" t="e">
        <v>#DIV/0!</v>
      </c>
    </row>
    <row r="50" spans="5:39">
      <c r="E50" s="3">
        <v>0.440532745164574</v>
      </c>
      <c r="F50" s="3">
        <v>0.440532745164574</v>
      </c>
      <c r="G50" s="3">
        <v>0.440532745164574</v>
      </c>
      <c r="H50" s="3">
        <v>0.440562885362189</v>
      </c>
      <c r="I50" s="3">
        <v>0.157551534828605</v>
      </c>
      <c r="J50" s="3">
        <v>0.145050073879494</v>
      </c>
      <c r="K50" s="3">
        <v>0.145069921458088</v>
      </c>
      <c r="L50" s="3" t="e">
        <v>#DIV/0!</v>
      </c>
      <c r="M50" s="3">
        <v>0.155173336186604</v>
      </c>
      <c r="N50" s="3">
        <v>0.341269841269841</v>
      </c>
      <c r="O50" s="3">
        <v>0</v>
      </c>
      <c r="P50" s="3">
        <v>0.204678362573099</v>
      </c>
      <c r="Q50" s="3" t="e">
        <v>#DIV/0!</v>
      </c>
      <c r="R50" s="3">
        <v>0.167113185262006</v>
      </c>
      <c r="S50" s="3">
        <v>0.087199552822806</v>
      </c>
      <c r="T50" s="3">
        <v>0.087199552822806</v>
      </c>
      <c r="U50" s="3">
        <v>1</v>
      </c>
      <c r="V50" s="3">
        <v>0.0655603694923567</v>
      </c>
      <c r="W50" s="3">
        <v>0.087199552822806</v>
      </c>
      <c r="X50" s="3">
        <v>0.087199552822806</v>
      </c>
      <c r="Y50" s="3">
        <v>0.210778517642666</v>
      </c>
      <c r="Z50" s="3">
        <v>0.313561270404309</v>
      </c>
      <c r="AA50" s="3">
        <v>0.313561270404309</v>
      </c>
      <c r="AB50" s="3">
        <v>0.492927094668118</v>
      </c>
      <c r="AC50" s="3">
        <v>0.0743455497382199</v>
      </c>
      <c r="AD50" s="3">
        <v>0.241145605596852</v>
      </c>
      <c r="AE50" s="3">
        <v>0.0982171827453456</v>
      </c>
      <c r="AF50" s="3">
        <v>0.0982683467471995</v>
      </c>
      <c r="AG50" s="3">
        <v>0.0982748039549949</v>
      </c>
      <c r="AH50" s="3">
        <v>0.0684766617627391</v>
      </c>
      <c r="AI50" s="3">
        <v>0</v>
      </c>
      <c r="AJ50" s="3">
        <v>0</v>
      </c>
      <c r="AK50" s="3">
        <v>0</v>
      </c>
      <c r="AL50" s="3">
        <v>0</v>
      </c>
      <c r="AM50" s="3" t="e">
        <v>#DIV/0!</v>
      </c>
    </row>
    <row r="51" spans="5:39">
      <c r="E51" s="3">
        <v>0.0274431625381744</v>
      </c>
      <c r="F51" s="3">
        <v>0.0274431625381744</v>
      </c>
      <c r="G51" s="3">
        <v>0.0274431625381744</v>
      </c>
      <c r="H51" s="3">
        <v>0.0274450401337701</v>
      </c>
      <c r="I51" s="3">
        <v>0.0903704616986373</v>
      </c>
      <c r="J51" s="3">
        <v>0.0904886991736442</v>
      </c>
      <c r="K51" s="3">
        <v>0.0903642483785337</v>
      </c>
      <c r="L51" s="3" t="e">
        <v>#DIV/0!</v>
      </c>
      <c r="M51" s="3">
        <v>0.0883265568157501</v>
      </c>
      <c r="N51" s="3">
        <v>0.0238095238095238</v>
      </c>
      <c r="O51" s="3">
        <v>0</v>
      </c>
      <c r="P51" s="3">
        <v>0</v>
      </c>
      <c r="Q51" s="3" t="e">
        <v>#DIV/0!</v>
      </c>
      <c r="R51" s="3">
        <v>0.0951228646328465</v>
      </c>
      <c r="S51" s="3">
        <v>0.0236165455561766</v>
      </c>
      <c r="T51" s="3">
        <v>0.0236165455561766</v>
      </c>
      <c r="U51" s="3">
        <v>0</v>
      </c>
      <c r="V51" s="3">
        <v>0.0241764080765143</v>
      </c>
      <c r="W51" s="3">
        <v>0.0236165455561766</v>
      </c>
      <c r="X51" s="3">
        <v>0.0236165455561766</v>
      </c>
      <c r="Y51" s="3">
        <v>0.0571286327711743</v>
      </c>
      <c r="Z51" s="3">
        <v>0</v>
      </c>
      <c r="AA51" s="3">
        <v>0</v>
      </c>
      <c r="AB51" s="3">
        <v>0</v>
      </c>
      <c r="AC51" s="3">
        <v>0.0937366686057785</v>
      </c>
      <c r="AD51" s="3">
        <v>0.0653694796676869</v>
      </c>
      <c r="AE51" s="3">
        <v>0.00425607791896498</v>
      </c>
      <c r="AF51" s="3">
        <v>0.00425474940121097</v>
      </c>
      <c r="AG51" s="3">
        <v>0.00425502898056597</v>
      </c>
      <c r="AH51" s="3">
        <v>0.0282198742811288</v>
      </c>
      <c r="AI51" s="3">
        <v>0</v>
      </c>
      <c r="AJ51" s="3">
        <v>0</v>
      </c>
      <c r="AK51" s="3">
        <v>0</v>
      </c>
      <c r="AL51" s="3">
        <v>0</v>
      </c>
      <c r="AM51" s="3" t="e">
        <v>#DIV/0!</v>
      </c>
    </row>
    <row r="52" spans="5:39">
      <c r="E52" s="3">
        <v>0.00708347472005429</v>
      </c>
      <c r="F52" s="3">
        <v>0.00708347472005429</v>
      </c>
      <c r="G52" s="3">
        <v>0.00708347472005429</v>
      </c>
      <c r="H52" s="3">
        <v>0.00708395935446616</v>
      </c>
      <c r="I52" s="3">
        <v>0.00924698702339488</v>
      </c>
      <c r="J52" s="3">
        <v>0.00923493679198818</v>
      </c>
      <c r="K52" s="3">
        <v>0.00923620043239101</v>
      </c>
      <c r="L52" s="3" t="e">
        <v>#DIV/0!</v>
      </c>
      <c r="M52" s="3">
        <v>0.00902792638561952</v>
      </c>
      <c r="N52" s="3">
        <v>0</v>
      </c>
      <c r="O52" s="3">
        <v>0</v>
      </c>
      <c r="P52" s="3">
        <v>0</v>
      </c>
      <c r="Q52" s="3" t="e">
        <v>#DIV/0!</v>
      </c>
      <c r="R52" s="3">
        <v>0.00972258231786362</v>
      </c>
      <c r="S52" s="3">
        <v>0.14575181665735</v>
      </c>
      <c r="T52" s="3">
        <v>0.14575181665735</v>
      </c>
      <c r="U52" s="3">
        <v>0</v>
      </c>
      <c r="V52" s="3">
        <v>0.149207062862748</v>
      </c>
      <c r="W52" s="3">
        <v>0.14575181665735</v>
      </c>
      <c r="X52" s="3">
        <v>0.14575181665735</v>
      </c>
      <c r="Y52" s="3">
        <v>0.0148111270147489</v>
      </c>
      <c r="Z52" s="3">
        <v>0</v>
      </c>
      <c r="AA52" s="3">
        <v>0</v>
      </c>
      <c r="AB52" s="3">
        <v>0</v>
      </c>
      <c r="AC52" s="3">
        <v>0.0242388985844483</v>
      </c>
      <c r="AD52" s="3">
        <v>0.0168342807170966</v>
      </c>
      <c r="AE52" s="3">
        <v>0.00110494330588514</v>
      </c>
      <c r="AF52" s="3">
        <v>0.00110459840223746</v>
      </c>
      <c r="AG52" s="3">
        <v>0.00110467098533924</v>
      </c>
      <c r="AH52" s="3">
        <v>0.0121706566804868</v>
      </c>
      <c r="AI52" s="3">
        <v>0</v>
      </c>
      <c r="AJ52" s="3">
        <v>0</v>
      </c>
      <c r="AK52" s="3">
        <v>0</v>
      </c>
      <c r="AL52" s="3">
        <v>0</v>
      </c>
      <c r="AM52" s="3" t="e">
        <v>#DIV/0!</v>
      </c>
    </row>
    <row r="53" spans="5:39">
      <c r="E53" s="3">
        <v>0.0147183576518493</v>
      </c>
      <c r="F53" s="3">
        <v>0.0147183576518493</v>
      </c>
      <c r="G53" s="3">
        <v>0.0147183576518493</v>
      </c>
      <c r="H53" s="3">
        <v>0.0147193646467051</v>
      </c>
      <c r="I53" s="3">
        <v>0.046382201947347</v>
      </c>
      <c r="J53" s="3">
        <v>0.0464756744924205</v>
      </c>
      <c r="K53" s="3">
        <v>0.0464820338797515</v>
      </c>
      <c r="L53" s="3" t="e">
        <v>#DIV/0!</v>
      </c>
      <c r="M53" s="3">
        <v>0.04543387545474</v>
      </c>
      <c r="N53" s="3">
        <v>0</v>
      </c>
      <c r="O53" s="3">
        <v>0</v>
      </c>
      <c r="P53" s="3">
        <v>0.0526315789473684</v>
      </c>
      <c r="Q53" s="3" t="e">
        <v>#DIV/0!</v>
      </c>
      <c r="R53" s="3">
        <v>0.0489297957537522</v>
      </c>
      <c r="S53" s="3">
        <v>0.0127166014533259</v>
      </c>
      <c r="T53" s="3">
        <v>0.0127166014533259</v>
      </c>
      <c r="U53" s="3">
        <v>0</v>
      </c>
      <c r="V53" s="3">
        <v>0.0130180658873539</v>
      </c>
      <c r="W53" s="3">
        <v>0.0127166014533259</v>
      </c>
      <c r="X53" s="3">
        <v>0.0127166014533259</v>
      </c>
      <c r="Y53" s="3">
        <v>0.0306801916734084</v>
      </c>
      <c r="Z53" s="3">
        <v>0</v>
      </c>
      <c r="AA53" s="3">
        <v>0</v>
      </c>
      <c r="AB53" s="3">
        <v>0</v>
      </c>
      <c r="AC53" s="3">
        <v>0.0503005623424472</v>
      </c>
      <c r="AD53" s="3">
        <v>0.035198950590293</v>
      </c>
      <c r="AE53" s="3">
        <v>0.00229173426405807</v>
      </c>
      <c r="AF53" s="3">
        <v>0.00229101890834437</v>
      </c>
      <c r="AG53" s="3">
        <v>0.00229116945107399</v>
      </c>
      <c r="AH53" s="3">
        <v>0.0345058178413802</v>
      </c>
      <c r="AI53" s="3">
        <v>0</v>
      </c>
      <c r="AJ53" s="3">
        <v>0</v>
      </c>
      <c r="AK53" s="3">
        <v>0</v>
      </c>
      <c r="AL53" s="3">
        <v>0</v>
      </c>
      <c r="AM53" s="3" t="e">
        <v>#DIV/0!</v>
      </c>
    </row>
    <row r="54" spans="5:39">
      <c r="E54" s="3">
        <v>0.00602307431286054</v>
      </c>
      <c r="F54" s="3">
        <v>0.00602307431286054</v>
      </c>
      <c r="G54" s="3">
        <v>0.00602307431286054</v>
      </c>
      <c r="H54" s="3">
        <v>0.00602348639721075</v>
      </c>
      <c r="I54" s="3">
        <v>0.00786336377989431</v>
      </c>
      <c r="J54" s="3">
        <v>0.00785311662014995</v>
      </c>
      <c r="K54" s="3">
        <v>0.00785419118250732</v>
      </c>
      <c r="L54" s="3" t="e">
        <v>#DIV/0!</v>
      </c>
      <c r="M54" s="3">
        <v>0.00758345816392039</v>
      </c>
      <c r="N54" s="3">
        <v>0</v>
      </c>
      <c r="O54" s="3">
        <v>0</v>
      </c>
      <c r="P54" s="3">
        <v>0</v>
      </c>
      <c r="Q54" s="3" t="e">
        <v>#DIV/0!</v>
      </c>
      <c r="R54" s="3">
        <v>0.0082677959265981</v>
      </c>
      <c r="S54" s="3">
        <v>0.00517048630519844</v>
      </c>
      <c r="T54" s="3">
        <v>0.00517048630519844</v>
      </c>
      <c r="U54" s="3">
        <v>0</v>
      </c>
      <c r="V54" s="3">
        <v>0.00529305975639663</v>
      </c>
      <c r="W54" s="3">
        <v>0.00517048630519843</v>
      </c>
      <c r="X54" s="3">
        <v>0.00517048630519844</v>
      </c>
      <c r="Y54" s="3">
        <v>0.0125707884747028</v>
      </c>
      <c r="Z54" s="3">
        <v>0</v>
      </c>
      <c r="AA54" s="3">
        <v>0</v>
      </c>
      <c r="AB54" s="3">
        <v>0.108813928182807</v>
      </c>
      <c r="AC54" s="3">
        <v>0.0516579406631763</v>
      </c>
      <c r="AD54" s="3">
        <v>0.0144293834717971</v>
      </c>
      <c r="AE54" s="3">
        <v>0.000941248001309563</v>
      </c>
      <c r="AF54" s="3">
        <v>0.00097814605989378</v>
      </c>
      <c r="AG54" s="3">
        <v>0.000927378111148994</v>
      </c>
      <c r="AH54" s="3">
        <v>0.00320984352012839</v>
      </c>
      <c r="AI54" s="3">
        <v>0</v>
      </c>
      <c r="AJ54" s="3">
        <v>0</v>
      </c>
      <c r="AK54" s="3">
        <v>0</v>
      </c>
      <c r="AL54" s="3">
        <v>0</v>
      </c>
      <c r="AM54" s="3" t="e">
        <v>#DIV/0!</v>
      </c>
    </row>
    <row r="55" spans="5:39"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 t="e">
        <v>#DIV/0!</v>
      </c>
      <c r="M55" s="3">
        <v>0</v>
      </c>
      <c r="N55" s="3">
        <v>0</v>
      </c>
      <c r="O55" s="3">
        <v>0</v>
      </c>
      <c r="P55" s="3">
        <v>0</v>
      </c>
      <c r="Q55" s="3" t="e">
        <v>#DIV/0!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0.000387822377351173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 t="e">
        <v>#DIV/0!</v>
      </c>
    </row>
    <row r="56" spans="5:39"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 t="e">
        <v>#DIV/0!</v>
      </c>
      <c r="M56" s="3">
        <v>0</v>
      </c>
      <c r="N56" s="3">
        <v>0</v>
      </c>
      <c r="O56" s="3">
        <v>0</v>
      </c>
      <c r="P56" s="3">
        <v>0</v>
      </c>
      <c r="Q56" s="3" t="e">
        <v>#DIV/0!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 t="e">
        <v>#DIV/0!</v>
      </c>
    </row>
    <row r="57" spans="5:39">
      <c r="E57" s="3">
        <v>0.000254496097726502</v>
      </c>
      <c r="F57" s="3">
        <v>0.000254496097726502</v>
      </c>
      <c r="G57" s="3">
        <v>0.000254496097726502</v>
      </c>
      <c r="H57" s="3">
        <v>0.000254513509741299</v>
      </c>
      <c r="I57" s="3">
        <v>0.000328781760831818</v>
      </c>
      <c r="J57" s="3">
        <v>0.00032835330815958</v>
      </c>
      <c r="K57" s="3">
        <v>0.000328398237596125</v>
      </c>
      <c r="L57" s="3" t="e">
        <v>#DIV/0!</v>
      </c>
      <c r="M57" s="3">
        <v>0.000320992938155361</v>
      </c>
      <c r="N57" s="3">
        <v>0</v>
      </c>
      <c r="O57" s="3">
        <v>0</v>
      </c>
      <c r="P57" s="3">
        <v>0</v>
      </c>
      <c r="Q57" s="3" t="e">
        <v>#DIV/0!</v>
      </c>
      <c r="R57" s="3">
        <v>0.000345691815746262</v>
      </c>
      <c r="S57" s="3">
        <v>0.000139742873113471</v>
      </c>
      <c r="T57" s="3">
        <v>0.000139742873113471</v>
      </c>
      <c r="U57" s="3">
        <v>0</v>
      </c>
      <c r="V57" s="3">
        <v>0.000143055669091801</v>
      </c>
      <c r="W57" s="3">
        <v>0.000139742873113471</v>
      </c>
      <c r="X57" s="3">
        <v>0.000139742873113471</v>
      </c>
      <c r="Y57" s="3">
        <v>0.000497853008899123</v>
      </c>
      <c r="Z57" s="3">
        <v>0</v>
      </c>
      <c r="AA57" s="3">
        <v>0</v>
      </c>
      <c r="AB57" s="3">
        <v>0</v>
      </c>
      <c r="AC57" s="3">
        <v>0.000814426992437464</v>
      </c>
      <c r="AD57" s="3">
        <v>0.000655881066899869</v>
      </c>
      <c r="AE57" s="3">
        <v>4.0923826143894e-5</v>
      </c>
      <c r="AF57" s="3">
        <v>4.09110519347208e-5</v>
      </c>
      <c r="AG57" s="3">
        <v>4.09137401977497e-5</v>
      </c>
      <c r="AH57" s="3">
        <v>0.00347733048013909</v>
      </c>
      <c r="AI57" s="3">
        <v>0</v>
      </c>
      <c r="AJ57" s="3">
        <v>0</v>
      </c>
      <c r="AK57" s="3">
        <v>0</v>
      </c>
      <c r="AL57" s="3">
        <v>0</v>
      </c>
      <c r="AM57" s="3" t="e">
        <v>#DIV/0!</v>
      </c>
    </row>
    <row r="58" spans="5:39">
      <c r="E58" s="3">
        <v>0.0657448252460129</v>
      </c>
      <c r="F58" s="3">
        <v>0.0657448252460129</v>
      </c>
      <c r="G58" s="3">
        <v>0.0657448252460129</v>
      </c>
      <c r="H58" s="3">
        <v>0.0657493233498357</v>
      </c>
      <c r="I58" s="3">
        <v>0.0357550164904602</v>
      </c>
      <c r="J58" s="3">
        <v>0.0359820500191539</v>
      </c>
      <c r="K58" s="3">
        <v>0.0359869735365754</v>
      </c>
      <c r="L58" s="3" t="e">
        <v>#DIV/0!</v>
      </c>
      <c r="M58" s="3">
        <v>0.0351754761395249</v>
      </c>
      <c r="N58" s="3">
        <v>0.0634920634920635</v>
      </c>
      <c r="O58" s="3">
        <v>0</v>
      </c>
      <c r="P58" s="3">
        <v>0</v>
      </c>
      <c r="Q58" s="3" t="e">
        <v>#DIV/0!</v>
      </c>
      <c r="R58" s="3">
        <v>0.0378820614755279</v>
      </c>
      <c r="S58" s="3">
        <v>0.159865846841811</v>
      </c>
      <c r="T58" s="3">
        <v>0.159865846841811</v>
      </c>
      <c r="U58" s="3">
        <v>0</v>
      </c>
      <c r="V58" s="3">
        <v>0.16365568544102</v>
      </c>
      <c r="W58" s="3">
        <v>0.159865846841811</v>
      </c>
      <c r="X58" s="3">
        <v>0.159865846841811</v>
      </c>
      <c r="Y58" s="3">
        <v>0.0485406683676644</v>
      </c>
      <c r="Z58" s="3">
        <v>0.0191808716786547</v>
      </c>
      <c r="AA58" s="3">
        <v>0.0191808716786547</v>
      </c>
      <c r="AB58" s="3">
        <v>0</v>
      </c>
      <c r="AC58" s="3">
        <v>0.0796974985456661</v>
      </c>
      <c r="AD58" s="3">
        <v>0.0555312636641889</v>
      </c>
      <c r="AE58" s="3">
        <v>0.00350775652661949</v>
      </c>
      <c r="AF58" s="3">
        <v>0.00360017257025543</v>
      </c>
      <c r="AG58" s="3">
        <v>0.00360040913740198</v>
      </c>
      <c r="AH58" s="3">
        <v>0.0775712184031029</v>
      </c>
      <c r="AI58" s="3">
        <v>0</v>
      </c>
      <c r="AJ58" s="3">
        <v>0</v>
      </c>
      <c r="AK58" s="3">
        <v>0</v>
      </c>
      <c r="AL58" s="3">
        <v>0</v>
      </c>
      <c r="AM58" s="3" t="e">
        <v>#DIV/0!</v>
      </c>
    </row>
    <row r="59" spans="5:39"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 t="e">
        <v>#DIV/0!</v>
      </c>
      <c r="M59" s="3">
        <v>0</v>
      </c>
      <c r="N59" s="3">
        <v>0</v>
      </c>
      <c r="O59" s="3">
        <v>0</v>
      </c>
      <c r="P59" s="3">
        <v>0</v>
      </c>
      <c r="Q59" s="3" t="e">
        <v>#DIV/0!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 t="e">
        <v>#DIV/0!</v>
      </c>
    </row>
    <row r="60" spans="5:39">
      <c r="E60" s="3">
        <v>0.00699864268747879</v>
      </c>
      <c r="F60" s="3">
        <v>0.00699864268747879</v>
      </c>
      <c r="G60" s="3">
        <v>0.00699864268747879</v>
      </c>
      <c r="H60" s="3">
        <v>0.00699912151788573</v>
      </c>
      <c r="I60" s="3">
        <v>0.00913739310311761</v>
      </c>
      <c r="J60" s="3">
        <v>0.00912548568926832</v>
      </c>
      <c r="K60" s="3">
        <v>0.0091267343531923</v>
      </c>
      <c r="L60" s="3" t="e">
        <v>#DIV/0!</v>
      </c>
      <c r="M60" s="3">
        <v>0.00892092873956773</v>
      </c>
      <c r="N60" s="3">
        <v>0</v>
      </c>
      <c r="O60" s="3">
        <v>0</v>
      </c>
      <c r="P60" s="3">
        <v>0</v>
      </c>
      <c r="Q60" s="3" t="e">
        <v>#DIV/0!</v>
      </c>
      <c r="R60" s="3">
        <v>0.00960735171261487</v>
      </c>
      <c r="S60" s="3">
        <v>0.00600894354387926</v>
      </c>
      <c r="T60" s="3">
        <v>0.00600894354387926</v>
      </c>
      <c r="U60" s="3">
        <v>0</v>
      </c>
      <c r="V60" s="3">
        <v>0.00615139377094744</v>
      </c>
      <c r="W60" s="3">
        <v>0.00600894354387926</v>
      </c>
      <c r="X60" s="3">
        <v>0.00600894354387926</v>
      </c>
      <c r="Y60" s="3">
        <v>0.0146244321364117</v>
      </c>
      <c r="Z60" s="3">
        <v>0</v>
      </c>
      <c r="AA60" s="3">
        <v>0</v>
      </c>
      <c r="AB60" s="3">
        <v>0</v>
      </c>
      <c r="AC60" s="3">
        <v>0.0239674229203025</v>
      </c>
      <c r="AD60" s="3">
        <v>0.0168342807170966</v>
      </c>
      <c r="AE60" s="3">
        <v>0.00112540521895709</v>
      </c>
      <c r="AF60" s="3">
        <v>0.00111947514839554</v>
      </c>
      <c r="AG60" s="3">
        <v>0.00106375724514149</v>
      </c>
      <c r="AH60" s="3">
        <v>0.144041727965762</v>
      </c>
      <c r="AI60" s="3">
        <v>0</v>
      </c>
      <c r="AJ60" s="3">
        <v>0</v>
      </c>
      <c r="AK60" s="3">
        <v>0</v>
      </c>
      <c r="AL60" s="3">
        <v>0</v>
      </c>
      <c r="AM60" s="3" t="e">
        <v>#DIV/0!</v>
      </c>
    </row>
    <row r="61" spans="5:39"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 t="e">
        <v>#DIV/0!</v>
      </c>
      <c r="M61" s="3">
        <v>0</v>
      </c>
      <c r="N61" s="3">
        <v>0</v>
      </c>
      <c r="O61" s="3">
        <v>0</v>
      </c>
      <c r="P61" s="3">
        <v>0</v>
      </c>
      <c r="Q61" s="3" t="e">
        <v>#DIV/0!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0.522069292833412</v>
      </c>
      <c r="AM61" s="3" t="e">
        <v>#DIV/0!</v>
      </c>
    </row>
    <row r="62" spans="5:39">
      <c r="E62" s="3">
        <v>0.000890736342042755</v>
      </c>
      <c r="F62" s="3">
        <v>0.000890736342042755</v>
      </c>
      <c r="G62" s="3">
        <v>0.000890736342042755</v>
      </c>
      <c r="H62" s="3">
        <v>0.000822379673949037</v>
      </c>
      <c r="I62" s="3">
        <v>0.0193501765489559</v>
      </c>
      <c r="J62" s="3">
        <v>0.0193318010178953</v>
      </c>
      <c r="K62" s="3">
        <v>0.0193344462384719</v>
      </c>
      <c r="L62" s="3" t="e">
        <v>#DIV/0!</v>
      </c>
      <c r="M62" s="3">
        <v>0.0188984592338969</v>
      </c>
      <c r="N62" s="3">
        <v>0</v>
      </c>
      <c r="O62" s="3">
        <v>0</v>
      </c>
      <c r="P62" s="3">
        <v>0</v>
      </c>
      <c r="Q62" s="3" t="e">
        <v>#DIV/0!</v>
      </c>
      <c r="R62" s="3">
        <v>0.0203526056520612</v>
      </c>
      <c r="S62" s="3">
        <v>0.000698714365567356</v>
      </c>
      <c r="T62" s="3">
        <v>0.000698714365567356</v>
      </c>
      <c r="U62" s="3">
        <v>0</v>
      </c>
      <c r="V62" s="3">
        <v>0.000715278345459004</v>
      </c>
      <c r="W62" s="3">
        <v>0.000698714365567356</v>
      </c>
      <c r="X62" s="3">
        <v>0.000698714365567356</v>
      </c>
      <c r="Y62" s="3">
        <v>0.00186694878337171</v>
      </c>
      <c r="Z62" s="3">
        <v>0</v>
      </c>
      <c r="AA62" s="3">
        <v>0</v>
      </c>
      <c r="AB62" s="3">
        <v>0</v>
      </c>
      <c r="AC62" s="3">
        <v>0.00302501454333915</v>
      </c>
      <c r="AD62" s="3">
        <v>0.00218627022299956</v>
      </c>
      <c r="AE62" s="3">
        <v>0.000122771478431682</v>
      </c>
      <c r="AF62" s="3">
        <v>0.000122733155804163</v>
      </c>
      <c r="AG62" s="3">
        <v>0.000163654960790999</v>
      </c>
      <c r="AH62" s="3">
        <v>0.0180553698007222</v>
      </c>
      <c r="AI62" s="3">
        <v>0</v>
      </c>
      <c r="AJ62" s="3">
        <v>0</v>
      </c>
      <c r="AK62" s="3">
        <v>0</v>
      </c>
      <c r="AL62" s="3">
        <v>0.477930707166588</v>
      </c>
      <c r="AM62" s="3" t="e">
        <v>#DIV/0!</v>
      </c>
    </row>
    <row r="63" spans="5:39"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 t="e">
        <v>#DIV/0!</v>
      </c>
      <c r="M63" s="3">
        <v>0</v>
      </c>
      <c r="N63" s="3">
        <v>0</v>
      </c>
      <c r="O63" s="3">
        <v>0</v>
      </c>
      <c r="P63" s="3">
        <v>0</v>
      </c>
      <c r="Q63" s="3" t="e">
        <v>#DIV/0!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1</v>
      </c>
      <c r="AJ63" s="3">
        <v>0</v>
      </c>
      <c r="AK63" s="3">
        <v>0</v>
      </c>
      <c r="AL63" s="3">
        <v>0</v>
      </c>
      <c r="AM63" s="3" t="e">
        <v>#DIV/0!</v>
      </c>
    </row>
    <row r="64" spans="5:39"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 t="e">
        <v>#DIV/0!</v>
      </c>
      <c r="M64" s="3">
        <v>0</v>
      </c>
      <c r="N64" s="3">
        <v>0</v>
      </c>
      <c r="O64" s="3">
        <v>0</v>
      </c>
      <c r="P64" s="3">
        <v>0</v>
      </c>
      <c r="Q64" s="3" t="e">
        <v>#DIV/0!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 t="e">
        <v>#DIV/0!</v>
      </c>
    </row>
    <row r="65" spans="5:39"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 t="e">
        <v>#DIV/0!</v>
      </c>
      <c r="M65" s="3">
        <v>0</v>
      </c>
      <c r="N65" s="3">
        <v>0</v>
      </c>
      <c r="O65" s="3">
        <v>0</v>
      </c>
      <c r="P65" s="3">
        <v>0</v>
      </c>
      <c r="Q65" s="3" t="e">
        <v>#DIV/0!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1</v>
      </c>
      <c r="AL65" s="3">
        <v>0</v>
      </c>
      <c r="AM65" s="3" t="e">
        <v>#DIV/0!</v>
      </c>
    </row>
    <row r="66" spans="5:39"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 t="e">
        <v>#DIV/0!</v>
      </c>
      <c r="M66" s="3">
        <v>0</v>
      </c>
      <c r="N66" s="3">
        <v>0</v>
      </c>
      <c r="O66" s="3">
        <v>0</v>
      </c>
      <c r="P66" s="3">
        <v>0</v>
      </c>
      <c r="Q66" s="3" t="e">
        <v>#DIV/0!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1</v>
      </c>
      <c r="AK66" s="3">
        <v>0</v>
      </c>
      <c r="AL66" s="3">
        <v>0</v>
      </c>
      <c r="AM66" s="3" t="e">
        <v>#DIV/0!</v>
      </c>
    </row>
    <row r="67" spans="5:39"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 t="e">
        <v>#DIV/0!</v>
      </c>
      <c r="M67" s="3">
        <v>0</v>
      </c>
      <c r="N67" s="3">
        <v>0</v>
      </c>
      <c r="O67" s="3">
        <v>0</v>
      </c>
      <c r="P67" s="3">
        <v>0</v>
      </c>
      <c r="Q67" s="3" t="e">
        <v>#DIV/0!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 t="e">
        <v>#DIV/0!</v>
      </c>
    </row>
    <row r="68" spans="5:39">
      <c r="E68" s="3">
        <v>1</v>
      </c>
      <c r="F68" s="3">
        <v>1</v>
      </c>
      <c r="G68" s="3">
        <v>1</v>
      </c>
      <c r="H68" s="3">
        <v>1</v>
      </c>
      <c r="I68" s="3">
        <v>1</v>
      </c>
      <c r="J68" s="3">
        <v>1</v>
      </c>
      <c r="K68" s="3">
        <v>1</v>
      </c>
      <c r="L68" s="3" t="e">
        <v>#DIV/0!</v>
      </c>
      <c r="M68" s="3">
        <v>1</v>
      </c>
      <c r="N68" s="3">
        <v>1</v>
      </c>
      <c r="O68" s="3">
        <v>1</v>
      </c>
      <c r="P68" s="3">
        <v>1</v>
      </c>
      <c r="Q68" s="3" t="e">
        <v>#DIV/0!</v>
      </c>
      <c r="R68" s="3">
        <v>1</v>
      </c>
      <c r="S68" s="3">
        <v>1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>
        <v>1</v>
      </c>
      <c r="AE68" s="3">
        <v>1</v>
      </c>
      <c r="AF68" s="3">
        <v>1</v>
      </c>
      <c r="AG68" s="3">
        <v>1</v>
      </c>
      <c r="AH68" s="3">
        <v>1</v>
      </c>
      <c r="AI68" s="3">
        <v>1</v>
      </c>
      <c r="AJ68" s="3">
        <v>1</v>
      </c>
      <c r="AK68" s="3">
        <v>1</v>
      </c>
      <c r="AL68" s="3">
        <v>1</v>
      </c>
      <c r="AM68" s="3" t="e">
        <v>#DIV/0!</v>
      </c>
    </row>
    <row r="69" spans="5:39"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</row>
  </sheetData>
  <sheetProtection autoFilter="0"/>
  <mergeCells count="20">
    <mergeCell ref="A2:AM2"/>
    <mergeCell ref="A4:B4"/>
    <mergeCell ref="E4:H4"/>
    <mergeCell ref="I4:R4"/>
    <mergeCell ref="S4:X4"/>
    <mergeCell ref="Z4:AA4"/>
    <mergeCell ref="AE4:AG4"/>
    <mergeCell ref="E5:H5"/>
    <mergeCell ref="I5:R5"/>
    <mergeCell ref="S5:X5"/>
    <mergeCell ref="Z5:AA5"/>
    <mergeCell ref="AE5:AG5"/>
    <mergeCell ref="A35:B35"/>
    <mergeCell ref="A5:A6"/>
    <mergeCell ref="B5:B6"/>
    <mergeCell ref="D4:D6"/>
    <mergeCell ref="Y5:Y6"/>
    <mergeCell ref="AC5:AC6"/>
    <mergeCell ref="AD5:AD6"/>
    <mergeCell ref="AH5:AH6"/>
  </mergeCells>
  <printOptions horizontalCentered="1"/>
  <pageMargins left="0.47244094488189" right="0.47244094488189" top="0.433070866141732" bottom="0.15748031496063" header="0.118110236220472" footer="0.118110236220472"/>
  <pageSetup paperSize="9" scale="37" fitToHeight="0" orientation="landscape" blackAndWhite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35"/>
  <sheetViews>
    <sheetView showGridLines="0" showZeros="0" zoomScale="70" zoomScaleNormal="70" workbookViewId="0">
      <pane xSplit="4" ySplit="7" topLeftCell="E8" activePane="bottomRight" state="frozen"/>
      <selection/>
      <selection pane="topRight"/>
      <selection pane="bottomLeft"/>
      <selection pane="bottomRight" activeCell="D46" sqref="D46"/>
    </sheetView>
  </sheetViews>
  <sheetFormatPr defaultColWidth="8.775" defaultRowHeight="13.5"/>
  <cols>
    <col min="1" max="1" width="4.66666666666667" style="3" customWidth="1"/>
    <col min="2" max="2" width="23.2166666666667" style="3" customWidth="1"/>
    <col min="3" max="3" width="11.775" style="3" customWidth="1"/>
    <col min="4" max="17" width="9.44166666666667" style="3" customWidth="1"/>
    <col min="18" max="23" width="8.44166666666667" style="3" customWidth="1"/>
    <col min="24" max="24" width="9.44166666666667" style="3" customWidth="1"/>
    <col min="25" max="26" width="10.4416666666667" style="3" customWidth="1"/>
    <col min="27" max="29" width="9.44166666666667" style="3" customWidth="1"/>
    <col min="30" max="32" width="10.4416666666667" style="3" customWidth="1"/>
    <col min="33" max="33" width="9.44166666666667" style="3" customWidth="1"/>
    <col min="34" max="34" width="13.1083333333333" style="3" customWidth="1"/>
    <col min="35" max="36" width="9.44166666666667" style="3" customWidth="1"/>
    <col min="37" max="37" width="9.21666666666667" style="3" customWidth="1"/>
    <col min="38" max="38" width="9.55833333333333" style="3" customWidth="1"/>
    <col min="39" max="16384" width="8.775" style="3"/>
  </cols>
  <sheetData>
    <row r="1" spans="1:38">
      <c r="A1" s="4"/>
    </row>
    <row r="2" s="1" customFormat="1" ht="24" spans="1:38">
      <c r="A2" s="5" t="s">
        <v>106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ht="20.25" customHeight="1" spans="1:38">
      <c r="AL3" s="6" t="s">
        <v>1</v>
      </c>
    </row>
    <row r="4" s="2" customFormat="1" ht="23.1" customHeight="1" spans="1:38">
      <c r="A4" s="7" t="s">
        <v>2</v>
      </c>
      <c r="B4" s="8"/>
      <c r="C4" s="9" t="s">
        <v>3</v>
      </c>
      <c r="D4" s="10">
        <v>501</v>
      </c>
      <c r="E4" s="11"/>
      <c r="F4" s="11"/>
      <c r="G4" s="12"/>
      <c r="H4" s="10">
        <v>502</v>
      </c>
      <c r="I4" s="11"/>
      <c r="J4" s="11"/>
      <c r="K4" s="11"/>
      <c r="L4" s="11"/>
      <c r="M4" s="11"/>
      <c r="N4" s="11"/>
      <c r="O4" s="11"/>
      <c r="P4" s="11"/>
      <c r="Q4" s="12"/>
      <c r="R4" s="10">
        <v>503</v>
      </c>
      <c r="S4" s="11"/>
      <c r="T4" s="11"/>
      <c r="U4" s="11"/>
      <c r="V4" s="11"/>
      <c r="W4" s="11"/>
      <c r="X4" s="13">
        <v>504</v>
      </c>
      <c r="Y4" s="10">
        <v>505</v>
      </c>
      <c r="Z4" s="12"/>
      <c r="AA4" s="13">
        <v>506</v>
      </c>
      <c r="AB4" s="13">
        <v>507</v>
      </c>
      <c r="AC4" s="13">
        <v>508</v>
      </c>
      <c r="AD4" s="10">
        <v>509</v>
      </c>
      <c r="AE4" s="11"/>
      <c r="AF4" s="12"/>
      <c r="AG4" s="13">
        <v>510</v>
      </c>
      <c r="AH4" s="13">
        <v>511</v>
      </c>
      <c r="AI4" s="13">
        <v>512</v>
      </c>
      <c r="AJ4" s="13">
        <v>513</v>
      </c>
      <c r="AK4" s="13">
        <v>514</v>
      </c>
      <c r="AL4" s="13">
        <v>599</v>
      </c>
    </row>
    <row r="5" s="2" customFormat="1" ht="69" customHeight="1" spans="1:38">
      <c r="A5" s="9" t="s">
        <v>74</v>
      </c>
      <c r="B5" s="9" t="s">
        <v>75</v>
      </c>
      <c r="C5" s="14"/>
      <c r="D5" s="15" t="s">
        <v>6</v>
      </c>
      <c r="E5" s="16"/>
      <c r="F5" s="16"/>
      <c r="G5" s="17"/>
      <c r="H5" s="15" t="s">
        <v>7</v>
      </c>
      <c r="I5" s="16"/>
      <c r="J5" s="16"/>
      <c r="K5" s="16"/>
      <c r="L5" s="16"/>
      <c r="M5" s="16"/>
      <c r="N5" s="16"/>
      <c r="O5" s="16"/>
      <c r="P5" s="16"/>
      <c r="Q5" s="17"/>
      <c r="R5" s="18" t="s">
        <v>76</v>
      </c>
      <c r="S5" s="11"/>
      <c r="T5" s="11"/>
      <c r="U5" s="11"/>
      <c r="V5" s="11"/>
      <c r="W5" s="11"/>
      <c r="X5" s="19" t="s">
        <v>77</v>
      </c>
      <c r="Y5" s="18" t="s">
        <v>10</v>
      </c>
      <c r="Z5" s="12"/>
      <c r="AA5" s="20" t="s">
        <v>11</v>
      </c>
      <c r="AB5" s="19" t="s">
        <v>12</v>
      </c>
      <c r="AC5" s="19" t="s">
        <v>13</v>
      </c>
      <c r="AD5" s="15" t="s">
        <v>14</v>
      </c>
      <c r="AE5" s="16"/>
      <c r="AF5" s="17"/>
      <c r="AG5" s="19" t="s">
        <v>15</v>
      </c>
      <c r="AH5" s="20" t="s">
        <v>16</v>
      </c>
      <c r="AI5" s="20" t="s">
        <v>17</v>
      </c>
      <c r="AJ5" s="20" t="s">
        <v>18</v>
      </c>
      <c r="AK5" s="20" t="s">
        <v>19</v>
      </c>
      <c r="AL5" s="20" t="s">
        <v>20</v>
      </c>
    </row>
    <row r="6" s="2" customFormat="1" ht="69" customHeight="1" spans="1:38">
      <c r="A6" s="21"/>
      <c r="B6" s="21"/>
      <c r="C6" s="21"/>
      <c r="D6" s="22" t="s">
        <v>78</v>
      </c>
      <c r="E6" s="23" t="s">
        <v>107</v>
      </c>
      <c r="F6" s="23" t="s">
        <v>108</v>
      </c>
      <c r="G6" s="23" t="s">
        <v>109</v>
      </c>
      <c r="H6" s="23" t="s">
        <v>110</v>
      </c>
      <c r="I6" s="23" t="s">
        <v>111</v>
      </c>
      <c r="J6" s="23" t="s">
        <v>112</v>
      </c>
      <c r="K6" s="23" t="s">
        <v>113</v>
      </c>
      <c r="L6" s="23" t="s">
        <v>114</v>
      </c>
      <c r="M6" s="23" t="s">
        <v>115</v>
      </c>
      <c r="N6" s="23" t="s">
        <v>116</v>
      </c>
      <c r="O6" s="23" t="s">
        <v>117</v>
      </c>
      <c r="P6" s="23" t="s">
        <v>118</v>
      </c>
      <c r="Q6" s="23" t="s">
        <v>119</v>
      </c>
      <c r="R6" s="23" t="s">
        <v>120</v>
      </c>
      <c r="S6" s="23" t="s">
        <v>121</v>
      </c>
      <c r="T6" s="23" t="s">
        <v>122</v>
      </c>
      <c r="U6" s="23" t="s">
        <v>123</v>
      </c>
      <c r="V6" s="23" t="s">
        <v>124</v>
      </c>
      <c r="W6" s="23" t="s">
        <v>125</v>
      </c>
      <c r="X6" s="24"/>
      <c r="Y6" s="23" t="s">
        <v>126</v>
      </c>
      <c r="Z6" s="23" t="s">
        <v>127</v>
      </c>
      <c r="AA6" s="22" t="s">
        <v>100</v>
      </c>
      <c r="AB6" s="24"/>
      <c r="AC6" s="24"/>
      <c r="AD6" s="23" t="s">
        <v>128</v>
      </c>
      <c r="AE6" s="23" t="s">
        <v>129</v>
      </c>
      <c r="AF6" s="23" t="s">
        <v>130</v>
      </c>
      <c r="AG6" s="24"/>
      <c r="AH6" s="23"/>
      <c r="AI6" s="23"/>
      <c r="AJ6" s="23"/>
      <c r="AK6" s="23"/>
      <c r="AL6" s="23"/>
    </row>
    <row r="7" ht="20.1" customHeight="1" spans="1:38">
      <c r="A7" s="25" t="s">
        <v>21</v>
      </c>
      <c r="B7" s="26" t="s">
        <v>22</v>
      </c>
      <c r="C7" s="27">
        <f t="shared" ref="C7:C30" si="0">SUM(D7:AK7)</f>
        <v>38044.28</v>
      </c>
      <c r="D7" s="28">
        <f>[1]表五!D6*0.6</f>
        <v>1307.4</v>
      </c>
      <c r="E7" s="28">
        <f t="shared" ref="E7:E27" si="1">D7*0.34</f>
        <v>444.516</v>
      </c>
      <c r="F7" s="28">
        <f t="shared" ref="F7:F27" si="2">D7*0.12</f>
        <v>156.888</v>
      </c>
      <c r="G7" s="28">
        <f>[1]表五!D6-D7-E7-F7</f>
        <v>270.196</v>
      </c>
      <c r="H7" s="28">
        <f>[1]表五!E6*0.8</f>
        <v>14804.8</v>
      </c>
      <c r="I7" s="28">
        <f>[1]表五!E6*0.02</f>
        <v>370.12</v>
      </c>
      <c r="J7" s="28">
        <f>[1]表五!E6*0.02</f>
        <v>370.12</v>
      </c>
      <c r="K7" s="28"/>
      <c r="L7" s="28">
        <f>[1]表五!E6*0.04</f>
        <v>740.24</v>
      </c>
      <c r="M7" s="28">
        <v>104</v>
      </c>
      <c r="N7" s="28">
        <v>10</v>
      </c>
      <c r="O7" s="28">
        <v>71</v>
      </c>
      <c r="P7" s="28"/>
      <c r="Q7" s="28">
        <v>1782</v>
      </c>
      <c r="R7" s="28">
        <f>[1]表五!F6*0.05</f>
        <v>28.5</v>
      </c>
      <c r="S7" s="28">
        <f>[1]表五!F6*0.25</f>
        <v>142.5</v>
      </c>
      <c r="T7" s="28"/>
      <c r="U7" s="28">
        <f>[1]表五!F6*0.35</f>
        <v>199.5</v>
      </c>
      <c r="V7" s="28">
        <f>[1]表五!F6*0.15</f>
        <v>85.5</v>
      </c>
      <c r="W7" s="28">
        <f>[1]表五!F6*0.2</f>
        <v>114</v>
      </c>
      <c r="X7" s="28">
        <v>2024</v>
      </c>
      <c r="Y7" s="28">
        <f>[1]表五!H6*0.2</f>
        <v>800</v>
      </c>
      <c r="Z7" s="28">
        <f>[1]表五!H6*0.8</f>
        <v>3200</v>
      </c>
      <c r="AA7" s="28">
        <v>182</v>
      </c>
      <c r="AB7" s="28">
        <v>484</v>
      </c>
      <c r="AC7" s="28"/>
      <c r="AD7" s="28">
        <f>[1]表五!L6*0.14</f>
        <v>1309.42</v>
      </c>
      <c r="AE7" s="28">
        <f>[1]表五!L6*0.11</f>
        <v>1028.83</v>
      </c>
      <c r="AF7" s="28">
        <f>[1]表五!L6*0.75</f>
        <v>7014.75</v>
      </c>
      <c r="AG7" s="28">
        <v>1000</v>
      </c>
      <c r="AH7" s="29"/>
      <c r="AI7" s="29"/>
      <c r="AJ7" s="29"/>
      <c r="AK7" s="29"/>
      <c r="AL7" s="27">
        <f t="shared" ref="AL7:AL27" si="3">C7-SUM(D7:AK7)</f>
        <v>0</v>
      </c>
    </row>
    <row r="8" ht="20.1" customHeight="1" spans="1:38">
      <c r="A8" s="25" t="s">
        <v>23</v>
      </c>
      <c r="B8" s="26" t="s">
        <v>24</v>
      </c>
      <c r="C8" s="27">
        <f t="shared" si="0"/>
        <v>0</v>
      </c>
      <c r="D8" s="28">
        <f>[1]表五!D7*0.6</f>
        <v>0</v>
      </c>
      <c r="E8" s="28">
        <f t="shared" si="1"/>
        <v>0</v>
      </c>
      <c r="F8" s="28">
        <f t="shared" si="2"/>
        <v>0</v>
      </c>
      <c r="G8" s="28">
        <f>[1]表五!D7-D8-E8-F8</f>
        <v>0</v>
      </c>
      <c r="H8" s="28">
        <f>[1]表五!E7*0.8</f>
        <v>0</v>
      </c>
      <c r="I8" s="28">
        <f>[1]表五!E7*0.02</f>
        <v>0</v>
      </c>
      <c r="J8" s="28">
        <f>[1]表五!E7*0.02</f>
        <v>0</v>
      </c>
      <c r="K8" s="28"/>
      <c r="L8" s="28">
        <f>[1]表五!E7*0.04</f>
        <v>0</v>
      </c>
      <c r="M8" s="28"/>
      <c r="N8" s="28"/>
      <c r="O8" s="28"/>
      <c r="P8" s="28"/>
      <c r="Q8" s="28">
        <f>[1]表五!E7*0.12</f>
        <v>0</v>
      </c>
      <c r="R8" s="28">
        <f>[1]表五!F7*0.05</f>
        <v>0</v>
      </c>
      <c r="S8" s="28">
        <f>[1]表五!F7*0.25</f>
        <v>0</v>
      </c>
      <c r="T8" s="28"/>
      <c r="U8" s="28">
        <f>[1]表五!F7*0.35</f>
        <v>0</v>
      </c>
      <c r="V8" s="28">
        <f>[1]表五!F7*0.15</f>
        <v>0</v>
      </c>
      <c r="W8" s="28">
        <f>[1]表五!F7*0.2</f>
        <v>0</v>
      </c>
      <c r="X8" s="28"/>
      <c r="Y8" s="28">
        <f>[1]表五!H7*0.2</f>
        <v>0</v>
      </c>
      <c r="Z8" s="28">
        <f>[1]表五!H7*0.8</f>
        <v>0</v>
      </c>
      <c r="AA8" s="28"/>
      <c r="AB8" s="28"/>
      <c r="AC8" s="28"/>
      <c r="AD8" s="28">
        <f>[1]表五!L7*0.14</f>
        <v>0</v>
      </c>
      <c r="AE8" s="28">
        <f>[1]表五!L7*0.11</f>
        <v>0</v>
      </c>
      <c r="AF8" s="28">
        <f>[1]表五!L7*0.75</f>
        <v>0</v>
      </c>
      <c r="AG8" s="28"/>
      <c r="AH8" s="29"/>
      <c r="AI8" s="29"/>
      <c r="AJ8" s="29"/>
      <c r="AK8" s="29"/>
      <c r="AL8" s="27">
        <f t="shared" si="3"/>
        <v>0</v>
      </c>
    </row>
    <row r="9" ht="20.1" customHeight="1" spans="1:38">
      <c r="A9" s="25" t="s">
        <v>25</v>
      </c>
      <c r="B9" s="26" t="s">
        <v>26</v>
      </c>
      <c r="C9" s="27">
        <f t="shared" si="0"/>
        <v>0</v>
      </c>
      <c r="D9" s="28">
        <f>[1]表五!D8*0.6</f>
        <v>0</v>
      </c>
      <c r="E9" s="28">
        <f t="shared" si="1"/>
        <v>0</v>
      </c>
      <c r="F9" s="28">
        <f t="shared" si="2"/>
        <v>0</v>
      </c>
      <c r="G9" s="28">
        <f>[1]表五!D8-D9-E9-F9</f>
        <v>0</v>
      </c>
      <c r="H9" s="28">
        <f>[1]表五!E8*0.8</f>
        <v>0</v>
      </c>
      <c r="I9" s="28">
        <f>[1]表五!E8*0.02</f>
        <v>0</v>
      </c>
      <c r="J9" s="28">
        <f>[1]表五!E8*0.02</f>
        <v>0</v>
      </c>
      <c r="K9" s="28"/>
      <c r="L9" s="28">
        <f>[1]表五!E8*0.04</f>
        <v>0</v>
      </c>
      <c r="M9" s="28"/>
      <c r="N9" s="28"/>
      <c r="O9" s="28"/>
      <c r="P9" s="28"/>
      <c r="Q9" s="28">
        <f>[1]表五!E8*0.12</f>
        <v>0</v>
      </c>
      <c r="R9" s="28">
        <f>[1]表五!F8*0.05</f>
        <v>0</v>
      </c>
      <c r="S9" s="28">
        <f>[1]表五!F8*0.25</f>
        <v>0</v>
      </c>
      <c r="T9" s="28"/>
      <c r="U9" s="28">
        <f>[1]表五!F8*0.35</f>
        <v>0</v>
      </c>
      <c r="V9" s="28">
        <f>[1]表五!F8*0.15</f>
        <v>0</v>
      </c>
      <c r="W9" s="28">
        <f>[1]表五!F8*0.2</f>
        <v>0</v>
      </c>
      <c r="X9" s="28"/>
      <c r="Y9" s="28">
        <f>[1]表五!H8*0.2</f>
        <v>0</v>
      </c>
      <c r="Z9" s="28">
        <f>[1]表五!H8*0.8</f>
        <v>0</v>
      </c>
      <c r="AA9" s="28"/>
      <c r="AB9" s="28"/>
      <c r="AC9" s="28"/>
      <c r="AD9" s="28">
        <f>[1]表五!L8*0.14</f>
        <v>0</v>
      </c>
      <c r="AE9" s="28">
        <f>[1]表五!L8*0.11</f>
        <v>0</v>
      </c>
      <c r="AF9" s="28">
        <f>[1]表五!L8*0.75</f>
        <v>0</v>
      </c>
      <c r="AG9" s="28"/>
      <c r="AH9" s="29"/>
      <c r="AI9" s="29"/>
      <c r="AJ9" s="29"/>
      <c r="AK9" s="29"/>
      <c r="AL9" s="27">
        <f t="shared" si="3"/>
        <v>0</v>
      </c>
    </row>
    <row r="10" ht="20.1" customHeight="1" spans="1:38">
      <c r="A10" s="25" t="s">
        <v>27</v>
      </c>
      <c r="B10" s="26" t="s">
        <v>28</v>
      </c>
      <c r="C10" s="27">
        <f t="shared" si="0"/>
        <v>2641</v>
      </c>
      <c r="D10" s="28">
        <f>[1]表五!D9*0.6</f>
        <v>91.2</v>
      </c>
      <c r="E10" s="28">
        <f t="shared" si="1"/>
        <v>31.008</v>
      </c>
      <c r="F10" s="28">
        <f t="shared" si="2"/>
        <v>10.944</v>
      </c>
      <c r="G10" s="28">
        <f>[1]表五!D9-D10-E10-F10</f>
        <v>18.848</v>
      </c>
      <c r="H10" s="28">
        <f>[1]表五!E9*0.8</f>
        <v>484.8</v>
      </c>
      <c r="I10" s="28">
        <f>[1]表五!E9*0.02</f>
        <v>12.12</v>
      </c>
      <c r="J10" s="28">
        <f>[1]表五!E9*0.02</f>
        <v>12.12</v>
      </c>
      <c r="K10" s="28"/>
      <c r="L10" s="28">
        <f>[1]表五!E9*0.04</f>
        <v>24.24</v>
      </c>
      <c r="M10" s="28"/>
      <c r="N10" s="28"/>
      <c r="O10" s="28"/>
      <c r="P10" s="28"/>
      <c r="Q10" s="28">
        <f>[1]表五!E9*0.12</f>
        <v>72.72</v>
      </c>
      <c r="R10" s="28">
        <f>[1]表五!F9*0.05</f>
        <v>1.95</v>
      </c>
      <c r="S10" s="28">
        <f>[1]表五!F9*0.25</f>
        <v>9.75</v>
      </c>
      <c r="T10" s="28"/>
      <c r="U10" s="28">
        <f>[1]表五!F9*0.35</f>
        <v>13.65</v>
      </c>
      <c r="V10" s="28">
        <f>[1]表五!F9*0.15</f>
        <v>5.85</v>
      </c>
      <c r="W10" s="28">
        <f>[1]表五!F9*0.2</f>
        <v>7.8</v>
      </c>
      <c r="X10" s="28">
        <v>213</v>
      </c>
      <c r="Y10" s="28">
        <f>[1]表五!H9*0.2</f>
        <v>0</v>
      </c>
      <c r="Z10" s="28">
        <f>[1]表五!H9*0.8</f>
        <v>0</v>
      </c>
      <c r="AA10" s="28"/>
      <c r="AB10" s="28">
        <v>561</v>
      </c>
      <c r="AC10" s="28">
        <v>69</v>
      </c>
      <c r="AD10" s="28">
        <f>[1]表五!L9*0.14</f>
        <v>3.36</v>
      </c>
      <c r="AE10" s="28">
        <f>[1]表五!L9*0.11</f>
        <v>2.64</v>
      </c>
      <c r="AF10" s="28">
        <f>[1]表五!L9*0.75</f>
        <v>18</v>
      </c>
      <c r="AG10" s="28">
        <v>977</v>
      </c>
      <c r="AH10" s="29"/>
      <c r="AI10" s="29"/>
      <c r="AJ10" s="29"/>
      <c r="AK10" s="29"/>
      <c r="AL10" s="27">
        <f t="shared" si="3"/>
        <v>0</v>
      </c>
    </row>
    <row r="11" ht="20.1" customHeight="1" spans="1:38">
      <c r="A11" s="25" t="s">
        <v>29</v>
      </c>
      <c r="B11" s="26" t="s">
        <v>30</v>
      </c>
      <c r="C11" s="27">
        <f t="shared" si="0"/>
        <v>34899</v>
      </c>
      <c r="D11" s="28">
        <f>[1]表五!D10*0.6</f>
        <v>1189.8</v>
      </c>
      <c r="E11" s="28">
        <f t="shared" si="1"/>
        <v>404.532</v>
      </c>
      <c r="F11" s="28">
        <f t="shared" si="2"/>
        <v>142.776</v>
      </c>
      <c r="G11" s="28">
        <f>[1]表五!D10-D11-E11-F11</f>
        <v>245.892</v>
      </c>
      <c r="H11" s="28">
        <f>[1]表五!E10*0.8</f>
        <v>6384.8</v>
      </c>
      <c r="I11" s="28">
        <f>[1]表五!E10*0.02</f>
        <v>159.62</v>
      </c>
      <c r="J11" s="28">
        <f>[1]表五!E10*0.02</f>
        <v>159.62</v>
      </c>
      <c r="K11" s="28"/>
      <c r="L11" s="28">
        <f>[1]表五!E10*0.04</f>
        <v>319.24</v>
      </c>
      <c r="M11" s="28">
        <v>19</v>
      </c>
      <c r="N11" s="28">
        <v>6</v>
      </c>
      <c r="O11" s="28">
        <v>20</v>
      </c>
      <c r="P11" s="28"/>
      <c r="Q11" s="28">
        <f>[1]表五!E10*0.12</f>
        <v>957.72</v>
      </c>
      <c r="R11" s="28">
        <f>[1]表五!F10*0.05</f>
        <v>25.95</v>
      </c>
      <c r="S11" s="28">
        <f>[1]表五!F10*0.25</f>
        <v>129.75</v>
      </c>
      <c r="T11" s="28"/>
      <c r="U11" s="28">
        <f>[1]表五!F10*0.35</f>
        <v>181.65</v>
      </c>
      <c r="V11" s="28">
        <f>[1]表五!F10*0.15</f>
        <v>77.85</v>
      </c>
      <c r="W11" s="28">
        <f>[1]表五!F10*0.2</f>
        <v>103.8</v>
      </c>
      <c r="X11" s="28">
        <v>2815</v>
      </c>
      <c r="Y11" s="28">
        <f>[1]表五!H10*0.2</f>
        <v>1569.6</v>
      </c>
      <c r="Z11" s="28">
        <f>[1]表五!H10*0.8</f>
        <v>6278.4</v>
      </c>
      <c r="AA11" s="28">
        <v>152</v>
      </c>
      <c r="AB11" s="28">
        <v>7411</v>
      </c>
      <c r="AC11" s="28">
        <v>917</v>
      </c>
      <c r="AD11" s="28">
        <f>[1]表五!L10*0.14</f>
        <v>604.52</v>
      </c>
      <c r="AE11" s="28">
        <f>[1]表五!L10*0.11</f>
        <v>474.98</v>
      </c>
      <c r="AF11" s="28">
        <f>[1]表五!L10*0.75</f>
        <v>3238.5</v>
      </c>
      <c r="AG11" s="28">
        <v>910</v>
      </c>
      <c r="AH11" s="29"/>
      <c r="AI11" s="29"/>
      <c r="AJ11" s="29"/>
      <c r="AK11" s="29"/>
      <c r="AL11" s="27">
        <f t="shared" si="3"/>
        <v>0</v>
      </c>
    </row>
    <row r="12" ht="20.1" customHeight="1" spans="1:38">
      <c r="A12" s="25" t="s">
        <v>31</v>
      </c>
      <c r="B12" s="26" t="s">
        <v>32</v>
      </c>
      <c r="C12" s="27">
        <f t="shared" si="0"/>
        <v>3140</v>
      </c>
      <c r="D12" s="28">
        <f>[1]表五!D11*0.6</f>
        <v>707.4</v>
      </c>
      <c r="E12" s="28">
        <f t="shared" si="1"/>
        <v>240.516</v>
      </c>
      <c r="F12" s="28">
        <f t="shared" si="2"/>
        <v>84.888</v>
      </c>
      <c r="G12" s="28">
        <f>[1]表五!D11-D12-E12-F12</f>
        <v>146.196</v>
      </c>
      <c r="H12" s="28">
        <f>[1]表五!E11*0.8</f>
        <v>576</v>
      </c>
      <c r="I12" s="28">
        <f>[1]表五!E11*0.02</f>
        <v>14.4</v>
      </c>
      <c r="J12" s="28">
        <f>[1]表五!E11*0.02</f>
        <v>14.4</v>
      </c>
      <c r="K12" s="28"/>
      <c r="L12" s="28">
        <f>[1]表五!E11*0.04</f>
        <v>28.8</v>
      </c>
      <c r="M12" s="28"/>
      <c r="N12" s="28"/>
      <c r="O12" s="28">
        <v>2</v>
      </c>
      <c r="P12" s="28"/>
      <c r="Q12" s="28">
        <f>[1]表五!E11*0.12</f>
        <v>86.4</v>
      </c>
      <c r="R12" s="28">
        <f>[1]表五!F11*0.05</f>
        <v>2.35</v>
      </c>
      <c r="S12" s="28">
        <f>[1]表五!F11*0.25</f>
        <v>11.75</v>
      </c>
      <c r="T12" s="28"/>
      <c r="U12" s="28">
        <f>[1]表五!F11*0.35</f>
        <v>16.45</v>
      </c>
      <c r="V12" s="28">
        <f>[1]表五!F11*0.15</f>
        <v>7.05</v>
      </c>
      <c r="W12" s="28">
        <f>[1]表五!F11*0.2</f>
        <v>9.4</v>
      </c>
      <c r="X12" s="28">
        <v>253</v>
      </c>
      <c r="Y12" s="28">
        <f>[1]表五!H11*0.2</f>
        <v>0</v>
      </c>
      <c r="Z12" s="28">
        <f>[1]表五!H11*0.8</f>
        <v>0</v>
      </c>
      <c r="AA12" s="28"/>
      <c r="AB12" s="28">
        <v>667</v>
      </c>
      <c r="AC12" s="28">
        <v>82</v>
      </c>
      <c r="AD12" s="28">
        <f>[1]表五!L11*0.14</f>
        <v>3.92</v>
      </c>
      <c r="AE12" s="28">
        <f>[1]表五!L11*0.11</f>
        <v>3.08</v>
      </c>
      <c r="AF12" s="28">
        <f>[1]表五!L11*0.75</f>
        <v>21</v>
      </c>
      <c r="AG12" s="28">
        <v>162</v>
      </c>
      <c r="AH12" s="29"/>
      <c r="AI12" s="29"/>
      <c r="AJ12" s="29"/>
      <c r="AK12" s="29"/>
      <c r="AL12" s="27">
        <f t="shared" si="3"/>
        <v>0</v>
      </c>
    </row>
    <row r="13" ht="20.1" customHeight="1" spans="1:38">
      <c r="A13" s="25" t="s">
        <v>33</v>
      </c>
      <c r="B13" s="26" t="s">
        <v>34</v>
      </c>
      <c r="C13" s="27">
        <f t="shared" si="0"/>
        <v>4027</v>
      </c>
      <c r="D13" s="28">
        <f>[1]表五!D12*0.6</f>
        <v>737.4</v>
      </c>
      <c r="E13" s="28">
        <f t="shared" si="1"/>
        <v>250.716</v>
      </c>
      <c r="F13" s="28">
        <f t="shared" si="2"/>
        <v>88.488</v>
      </c>
      <c r="G13" s="28">
        <f>[1]表五!D12-D13-E13-F13</f>
        <v>152.396</v>
      </c>
      <c r="H13" s="28">
        <f>[1]表五!E12*0.8</f>
        <v>737.6</v>
      </c>
      <c r="I13" s="28">
        <f>[1]表五!E12*0.02</f>
        <v>18.44</v>
      </c>
      <c r="J13" s="28">
        <f>[1]表五!E12*0.02</f>
        <v>18.44</v>
      </c>
      <c r="K13" s="28"/>
      <c r="L13" s="28">
        <f>[1]表五!E12*0.04</f>
        <v>36.88</v>
      </c>
      <c r="M13" s="28"/>
      <c r="N13" s="28"/>
      <c r="O13" s="28">
        <v>3</v>
      </c>
      <c r="P13" s="28"/>
      <c r="Q13" s="28">
        <f>[1]表五!E12*0.12</f>
        <v>110.64</v>
      </c>
      <c r="R13" s="28">
        <f>[1]表五!F12*0.05</f>
        <v>3</v>
      </c>
      <c r="S13" s="28">
        <f>[1]表五!F12*0.25</f>
        <v>15</v>
      </c>
      <c r="T13" s="28"/>
      <c r="U13" s="28">
        <f>[1]表五!F12*0.35</f>
        <v>21</v>
      </c>
      <c r="V13" s="28">
        <f>[1]表五!F12*0.15</f>
        <v>9</v>
      </c>
      <c r="W13" s="28">
        <f>[1]表五!F12*0.2</f>
        <v>12</v>
      </c>
      <c r="X13" s="28">
        <v>325</v>
      </c>
      <c r="Y13" s="28">
        <f>[1]表五!H12*0.2</f>
        <v>0</v>
      </c>
      <c r="Z13" s="28">
        <f>[1]表五!H12*0.8</f>
        <v>0</v>
      </c>
      <c r="AA13" s="28"/>
      <c r="AB13" s="28">
        <v>855</v>
      </c>
      <c r="AC13" s="28">
        <v>105</v>
      </c>
      <c r="AD13" s="28">
        <f>[1]表五!L12*0.14</f>
        <v>5.04</v>
      </c>
      <c r="AE13" s="28">
        <f>[1]表五!L12*0.11</f>
        <v>3.96</v>
      </c>
      <c r="AF13" s="28">
        <f>[1]表五!L12*0.75</f>
        <v>27</v>
      </c>
      <c r="AG13" s="28">
        <v>492</v>
      </c>
      <c r="AH13" s="29"/>
      <c r="AI13" s="29"/>
      <c r="AJ13" s="29"/>
      <c r="AK13" s="29"/>
      <c r="AL13" s="27">
        <f t="shared" si="3"/>
        <v>0</v>
      </c>
    </row>
    <row r="14" ht="20.1" customHeight="1" spans="1:38">
      <c r="A14" s="25" t="s">
        <v>35</v>
      </c>
      <c r="B14" s="26" t="s">
        <v>36</v>
      </c>
      <c r="C14" s="27">
        <f t="shared" si="0"/>
        <v>25831</v>
      </c>
      <c r="D14" s="28">
        <f>[1]表五!D13*0.6</f>
        <v>1180.8</v>
      </c>
      <c r="E14" s="28">
        <f t="shared" si="1"/>
        <v>401.472</v>
      </c>
      <c r="F14" s="28">
        <f t="shared" si="2"/>
        <v>141.696</v>
      </c>
      <c r="G14" s="28">
        <f>[1]表五!D13-D14-E14-F14</f>
        <v>244.032</v>
      </c>
      <c r="H14" s="28">
        <f>[1]表五!E13*0.8</f>
        <v>4724</v>
      </c>
      <c r="I14" s="28">
        <f>[1]表五!E13*0.02</f>
        <v>118.1</v>
      </c>
      <c r="J14" s="28">
        <f>[1]表五!E13*0.02</f>
        <v>118.1</v>
      </c>
      <c r="K14" s="28"/>
      <c r="L14" s="28">
        <f>[1]表五!E13*0.04</f>
        <v>236.2</v>
      </c>
      <c r="M14" s="28">
        <v>21</v>
      </c>
      <c r="N14" s="28"/>
      <c r="O14" s="28">
        <v>21</v>
      </c>
      <c r="P14" s="28"/>
      <c r="Q14" s="28">
        <f>[1]表五!E13*0.12</f>
        <v>708.6</v>
      </c>
      <c r="R14" s="28">
        <f>[1]表五!F13*0.05</f>
        <v>19.2</v>
      </c>
      <c r="S14" s="28">
        <f>[1]表五!F13*0.25</f>
        <v>96</v>
      </c>
      <c r="T14" s="28"/>
      <c r="U14" s="28">
        <f>[1]表五!F13*0.35</f>
        <v>134.4</v>
      </c>
      <c r="V14" s="28">
        <f>[1]表五!F13*0.15</f>
        <v>57.6</v>
      </c>
      <c r="W14" s="28">
        <f>[1]表五!F13*0.2</f>
        <v>76.8</v>
      </c>
      <c r="X14" s="28">
        <v>2083</v>
      </c>
      <c r="Y14" s="28">
        <f>[1]表五!H13*0.2</f>
        <v>1693.6</v>
      </c>
      <c r="Z14" s="28">
        <f>[1]表五!H13*0.8</f>
        <v>6774.4</v>
      </c>
      <c r="AA14" s="28">
        <v>32</v>
      </c>
      <c r="AB14" s="28"/>
      <c r="AC14" s="28">
        <v>679</v>
      </c>
      <c r="AD14" s="28">
        <f>[1]表五!L13*0.14</f>
        <v>800.66</v>
      </c>
      <c r="AE14" s="28">
        <f>[1]表五!L13*0.11</f>
        <v>629.09</v>
      </c>
      <c r="AF14" s="28">
        <f>[1]表五!L13*0.75</f>
        <v>4289.25</v>
      </c>
      <c r="AG14" s="28">
        <v>551</v>
      </c>
      <c r="AH14" s="29"/>
      <c r="AI14" s="29"/>
      <c r="AJ14" s="29"/>
      <c r="AK14" s="29"/>
      <c r="AL14" s="27">
        <f t="shared" si="3"/>
        <v>0</v>
      </c>
    </row>
    <row r="15" ht="20.1" customHeight="1" spans="1:38">
      <c r="A15" s="25" t="s">
        <v>37</v>
      </c>
      <c r="B15" s="26" t="s">
        <v>38</v>
      </c>
      <c r="C15" s="27">
        <f t="shared" si="0"/>
        <v>19596</v>
      </c>
      <c r="D15" s="28">
        <f>[1]表五!D14*0.6</f>
        <v>669</v>
      </c>
      <c r="E15" s="28">
        <f t="shared" si="1"/>
        <v>227.46</v>
      </c>
      <c r="F15" s="28">
        <f t="shared" si="2"/>
        <v>80.28</v>
      </c>
      <c r="G15" s="28">
        <f>[1]表五!D14-D15-E15-F15</f>
        <v>138.26</v>
      </c>
      <c r="H15" s="28">
        <f>[1]表五!E14*0.8</f>
        <v>7588</v>
      </c>
      <c r="I15" s="28">
        <f>[1]表五!E14*0.02</f>
        <v>189.7</v>
      </c>
      <c r="J15" s="28">
        <f>[1]表五!E14*0.02</f>
        <v>189.7</v>
      </c>
      <c r="K15" s="28"/>
      <c r="L15" s="28">
        <f>[1]表五!E14*0.04</f>
        <v>379.4</v>
      </c>
      <c r="M15" s="28"/>
      <c r="N15" s="28"/>
      <c r="O15" s="28">
        <v>10</v>
      </c>
      <c r="P15" s="28"/>
      <c r="Q15" s="28">
        <f>[1]表五!E14*0.12</f>
        <v>1138.2</v>
      </c>
      <c r="R15" s="28">
        <f>[1]表五!F14*0.05</f>
        <v>14.55</v>
      </c>
      <c r="S15" s="28">
        <f>[1]表五!F14*0.25</f>
        <v>72.75</v>
      </c>
      <c r="T15" s="28"/>
      <c r="U15" s="28">
        <f>[1]表五!F14*0.35</f>
        <v>101.85</v>
      </c>
      <c r="V15" s="28">
        <f>[1]表五!F14*0.15</f>
        <v>43.65</v>
      </c>
      <c r="W15" s="28">
        <f>[1]表五!F14*0.2</f>
        <v>58.2</v>
      </c>
      <c r="X15" s="28">
        <v>1582</v>
      </c>
      <c r="Y15" s="28">
        <f>[1]表五!H14*0.2</f>
        <v>0</v>
      </c>
      <c r="Z15" s="28">
        <f>[1]表五!H14*0.8</f>
        <v>0</v>
      </c>
      <c r="AA15" s="28"/>
      <c r="AB15" s="28">
        <v>4165</v>
      </c>
      <c r="AC15" s="28">
        <v>515</v>
      </c>
      <c r="AD15" s="28">
        <f>[1]表五!L14*0.14</f>
        <v>304.92</v>
      </c>
      <c r="AE15" s="28">
        <f>[1]表五!L14*0.11</f>
        <v>239.58</v>
      </c>
      <c r="AF15" s="28">
        <f>[1]表五!L14*0.75</f>
        <v>1633.5</v>
      </c>
      <c r="AG15" s="28">
        <v>255</v>
      </c>
      <c r="AH15" s="29"/>
      <c r="AI15" s="29"/>
      <c r="AJ15" s="29"/>
      <c r="AK15" s="29"/>
      <c r="AL15" s="27">
        <f t="shared" si="3"/>
        <v>0</v>
      </c>
    </row>
    <row r="16" ht="20.1" customHeight="1" spans="1:38">
      <c r="A16" s="25" t="s">
        <v>39</v>
      </c>
      <c r="B16" s="26" t="s">
        <v>40</v>
      </c>
      <c r="C16" s="27">
        <f t="shared" si="0"/>
        <v>5983</v>
      </c>
      <c r="D16" s="28">
        <f>[1]表五!D15*0.6</f>
        <v>204</v>
      </c>
      <c r="E16" s="28">
        <f t="shared" si="1"/>
        <v>69.36</v>
      </c>
      <c r="F16" s="28">
        <f t="shared" si="2"/>
        <v>24.48</v>
      </c>
      <c r="G16" s="28">
        <f>[1]表五!D15-D16-E16-F16</f>
        <v>42.16</v>
      </c>
      <c r="H16" s="28">
        <f>[1]表五!E15*0.8</f>
        <v>1096.8</v>
      </c>
      <c r="I16" s="28">
        <f>[1]表五!E15*0.02</f>
        <v>27.42</v>
      </c>
      <c r="J16" s="28">
        <f>[1]表五!E15*0.02</f>
        <v>27.42</v>
      </c>
      <c r="K16" s="28"/>
      <c r="L16" s="28">
        <f>[1]表五!E15*0.04</f>
        <v>54.84</v>
      </c>
      <c r="M16" s="28"/>
      <c r="N16" s="28"/>
      <c r="O16" s="28"/>
      <c r="P16" s="28"/>
      <c r="Q16" s="28">
        <f>[1]表五!E15*0.12</f>
        <v>164.52</v>
      </c>
      <c r="R16" s="28">
        <f>[1]表五!F15*0.05</f>
        <v>104.45</v>
      </c>
      <c r="S16" s="28">
        <f>[1]表五!F15*0.25</f>
        <v>522.25</v>
      </c>
      <c r="T16" s="28"/>
      <c r="U16" s="28">
        <f>[1]表五!F15*0.35</f>
        <v>731.15</v>
      </c>
      <c r="V16" s="28">
        <f>[1]表五!F15*0.15</f>
        <v>313.35</v>
      </c>
      <c r="W16" s="28">
        <f>[1]表五!F15*0.2</f>
        <v>417.8</v>
      </c>
      <c r="X16" s="28">
        <v>483</v>
      </c>
      <c r="Y16" s="28">
        <f>[1]表五!H15*0.2</f>
        <v>0</v>
      </c>
      <c r="Z16" s="28">
        <f>[1]表五!H15*0.8</f>
        <v>0</v>
      </c>
      <c r="AA16" s="28"/>
      <c r="AB16" s="28">
        <v>1272</v>
      </c>
      <c r="AC16" s="28">
        <v>157</v>
      </c>
      <c r="AD16" s="28">
        <f>[1]表五!L15*0.14</f>
        <v>7.7</v>
      </c>
      <c r="AE16" s="28">
        <f>[1]表五!L15*0.11</f>
        <v>6.05</v>
      </c>
      <c r="AF16" s="28">
        <f>[1]表五!L15*0.75</f>
        <v>41.25</v>
      </c>
      <c r="AG16" s="28">
        <v>216</v>
      </c>
      <c r="AH16" s="29"/>
      <c r="AI16" s="29"/>
      <c r="AJ16" s="29"/>
      <c r="AK16" s="29"/>
      <c r="AL16" s="27">
        <f t="shared" si="3"/>
        <v>0</v>
      </c>
    </row>
    <row r="17" ht="20.1" customHeight="1" spans="1:38">
      <c r="A17" s="25" t="s">
        <v>41</v>
      </c>
      <c r="B17" s="26" t="s">
        <v>42</v>
      </c>
      <c r="C17" s="27">
        <f t="shared" si="0"/>
        <v>42054</v>
      </c>
      <c r="D17" s="28">
        <f>[1]表五!D16*0.6</f>
        <v>6231.6</v>
      </c>
      <c r="E17" s="28">
        <f t="shared" si="1"/>
        <v>2118.744</v>
      </c>
      <c r="F17" s="28">
        <f t="shared" si="2"/>
        <v>747.792</v>
      </c>
      <c r="G17" s="28">
        <f>[1]表五!D16-D17-E17-F17</f>
        <v>1287.864</v>
      </c>
      <c r="H17" s="28">
        <f>[1]表五!E16*0.8</f>
        <v>9281.6</v>
      </c>
      <c r="I17" s="28">
        <f>[1]表五!E16*0.02</f>
        <v>232.04</v>
      </c>
      <c r="J17" s="28">
        <f>[1]表五!E16*0.02</f>
        <v>232.04</v>
      </c>
      <c r="K17" s="28"/>
      <c r="L17" s="28">
        <f>[1]表五!E16*0.04</f>
        <v>464.08</v>
      </c>
      <c r="M17" s="28">
        <v>86</v>
      </c>
      <c r="N17" s="28"/>
      <c r="O17" s="28">
        <v>35</v>
      </c>
      <c r="P17" s="28"/>
      <c r="Q17" s="28">
        <f>[1]表五!E16*0.12</f>
        <v>1392.24</v>
      </c>
      <c r="R17" s="28">
        <f>[1]表五!F16*0.05</f>
        <v>31.2</v>
      </c>
      <c r="S17" s="28">
        <f>[1]表五!F16*0.25</f>
        <v>156</v>
      </c>
      <c r="T17" s="28">
        <v>58</v>
      </c>
      <c r="U17" s="28">
        <f>[1]表五!F16*0.35-58</f>
        <v>160.4</v>
      </c>
      <c r="V17" s="28">
        <f>[1]表五!F16*0.15</f>
        <v>93.6</v>
      </c>
      <c r="W17" s="28">
        <f>[1]表五!F16*0.2</f>
        <v>124.8</v>
      </c>
      <c r="X17" s="28">
        <v>3387</v>
      </c>
      <c r="Y17" s="28">
        <f>[1]表五!H16*0.2</f>
        <v>1909.4</v>
      </c>
      <c r="Z17" s="28">
        <f>[1]表五!H16*0.8</f>
        <v>7637.6</v>
      </c>
      <c r="AA17" s="28">
        <v>453</v>
      </c>
      <c r="AB17" s="28">
        <v>1917</v>
      </c>
      <c r="AC17" s="28">
        <v>1103</v>
      </c>
      <c r="AD17" s="28">
        <f>[1]表五!L16*0.14</f>
        <v>336.28</v>
      </c>
      <c r="AE17" s="28">
        <f>[1]表五!L16*0.11</f>
        <v>264.22</v>
      </c>
      <c r="AF17" s="28">
        <f>[1]表五!L16*0.75</f>
        <v>1801.5</v>
      </c>
      <c r="AG17" s="28">
        <v>512</v>
      </c>
      <c r="AH17" s="29"/>
      <c r="AI17" s="29"/>
      <c r="AJ17" s="29"/>
      <c r="AK17" s="29"/>
      <c r="AL17" s="27">
        <f t="shared" si="3"/>
        <v>0</v>
      </c>
    </row>
    <row r="18" ht="20.1" customHeight="1" spans="1:38">
      <c r="A18" s="25" t="s">
        <v>43</v>
      </c>
      <c r="B18" s="26" t="s">
        <v>44</v>
      </c>
      <c r="C18" s="27">
        <f t="shared" si="0"/>
        <v>11375</v>
      </c>
      <c r="D18" s="28">
        <f>[1]表五!D17*0.6</f>
        <v>388.2</v>
      </c>
      <c r="E18" s="28">
        <f t="shared" si="1"/>
        <v>131.988</v>
      </c>
      <c r="F18" s="28">
        <f t="shared" si="2"/>
        <v>46.584</v>
      </c>
      <c r="G18" s="28">
        <f>[1]表五!D17-D18-E18-F18</f>
        <v>80.228</v>
      </c>
      <c r="H18" s="28">
        <f>[1]表五!E17*0.8</f>
        <v>5283.2</v>
      </c>
      <c r="I18" s="28">
        <f>[1]表五!E17*0.02</f>
        <v>132.08</v>
      </c>
      <c r="J18" s="28">
        <f>[1]表五!E17*0.02</f>
        <v>132.08</v>
      </c>
      <c r="K18" s="28"/>
      <c r="L18" s="28">
        <f>[1]表五!E17*0.04</f>
        <v>264.16</v>
      </c>
      <c r="M18" s="28">
        <v>6</v>
      </c>
      <c r="N18" s="28"/>
      <c r="O18" s="28"/>
      <c r="P18" s="28"/>
      <c r="Q18" s="28">
        <f>[1]表五!E17*0.12</f>
        <v>792.48</v>
      </c>
      <c r="R18" s="28">
        <f>[1]表五!F17*0.05</f>
        <v>8.45</v>
      </c>
      <c r="S18" s="28">
        <f>[1]表五!F17*0.25</f>
        <v>42.25</v>
      </c>
      <c r="T18" s="28"/>
      <c r="U18" s="28">
        <f>[1]表五!F17*0.35</f>
        <v>59.15</v>
      </c>
      <c r="V18" s="28">
        <f>[1]表五!F17*0.15</f>
        <v>25.35</v>
      </c>
      <c r="W18" s="28">
        <f>[1]表五!F17*0.2</f>
        <v>33.8</v>
      </c>
      <c r="X18" s="28">
        <v>918</v>
      </c>
      <c r="Y18" s="28">
        <f>[1]表五!H17*0.2</f>
        <v>0</v>
      </c>
      <c r="Z18" s="28">
        <f>[1]表五!H17*0.8</f>
        <v>0</v>
      </c>
      <c r="AA18" s="28"/>
      <c r="AB18" s="28">
        <v>2417</v>
      </c>
      <c r="AC18" s="28">
        <v>299</v>
      </c>
      <c r="AD18" s="28">
        <f>[1]表五!L17*0.14</f>
        <v>14.56</v>
      </c>
      <c r="AE18" s="28">
        <f>[1]表五!L17*0.11</f>
        <v>11.44</v>
      </c>
      <c r="AF18" s="28">
        <f>[1]表五!L17*0.75</f>
        <v>78</v>
      </c>
      <c r="AG18" s="28">
        <v>211</v>
      </c>
      <c r="AH18" s="29"/>
      <c r="AI18" s="29"/>
      <c r="AJ18" s="29"/>
      <c r="AK18" s="29"/>
      <c r="AL18" s="27">
        <f t="shared" si="3"/>
        <v>0</v>
      </c>
    </row>
    <row r="19" ht="20.1" customHeight="1" spans="1:38">
      <c r="A19" s="25" t="s">
        <v>45</v>
      </c>
      <c r="B19" s="26" t="s">
        <v>46</v>
      </c>
      <c r="C19" s="27">
        <f t="shared" si="0"/>
        <v>2943</v>
      </c>
      <c r="D19" s="28">
        <f>[1]表五!D18*0.6</f>
        <v>100.2</v>
      </c>
      <c r="E19" s="28">
        <f t="shared" si="1"/>
        <v>34.068</v>
      </c>
      <c r="F19" s="28">
        <f t="shared" si="2"/>
        <v>12.024</v>
      </c>
      <c r="G19" s="28">
        <f>[1]表五!D18-D19-E19-F19</f>
        <v>20.708</v>
      </c>
      <c r="H19" s="28">
        <f>[1]表五!E18*0.8</f>
        <v>540</v>
      </c>
      <c r="I19" s="28">
        <f>[1]表五!E18*0.02</f>
        <v>13.5</v>
      </c>
      <c r="J19" s="28">
        <f>[1]表五!E18*0.02</f>
        <v>13.5</v>
      </c>
      <c r="K19" s="28"/>
      <c r="L19" s="28">
        <f>[1]表五!E18*0.04</f>
        <v>27</v>
      </c>
      <c r="M19" s="28"/>
      <c r="N19" s="28"/>
      <c r="O19" s="28"/>
      <c r="P19" s="28"/>
      <c r="Q19" s="28">
        <f>[1]表五!E18*0.12</f>
        <v>81</v>
      </c>
      <c r="R19" s="28">
        <f>[1]表五!F18*0.05</f>
        <v>52.15</v>
      </c>
      <c r="S19" s="28">
        <f>[1]表五!F18*0.25</f>
        <v>260.75</v>
      </c>
      <c r="T19" s="28"/>
      <c r="U19" s="28">
        <f>[1]表五!F18*0.35</f>
        <v>365.05</v>
      </c>
      <c r="V19" s="28">
        <f>[1]表五!F18*0.15</f>
        <v>156.45</v>
      </c>
      <c r="W19" s="28">
        <f>[1]表五!F18*0.2</f>
        <v>208.6</v>
      </c>
      <c r="X19" s="28">
        <v>238</v>
      </c>
      <c r="Y19" s="28">
        <f>[1]表五!H18*0.2</f>
        <v>0</v>
      </c>
      <c r="Z19" s="28">
        <f>[1]表五!H18*0.8</f>
        <v>0</v>
      </c>
      <c r="AA19" s="28"/>
      <c r="AB19" s="28">
        <v>625</v>
      </c>
      <c r="AC19" s="28">
        <v>77</v>
      </c>
      <c r="AD19" s="28">
        <f>[1]表五!L18*0.14</f>
        <v>3.78</v>
      </c>
      <c r="AE19" s="28">
        <f>[1]表五!L18*0.11</f>
        <v>2.97</v>
      </c>
      <c r="AF19" s="28">
        <f>[1]表五!L18*0.75</f>
        <v>20.25</v>
      </c>
      <c r="AG19" s="28">
        <v>91</v>
      </c>
      <c r="AH19" s="29"/>
      <c r="AI19" s="29"/>
      <c r="AJ19" s="29"/>
      <c r="AK19" s="29"/>
      <c r="AL19" s="27">
        <f t="shared" si="3"/>
        <v>0</v>
      </c>
    </row>
    <row r="20" ht="20.1" customHeight="1" spans="1:38">
      <c r="A20" s="25" t="s">
        <v>47</v>
      </c>
      <c r="B20" s="30" t="s">
        <v>48</v>
      </c>
      <c r="C20" s="27">
        <f t="shared" si="0"/>
        <v>6109</v>
      </c>
      <c r="D20" s="28">
        <f>[1]表五!D19*0.6</f>
        <v>208.2</v>
      </c>
      <c r="E20" s="28">
        <f t="shared" si="1"/>
        <v>70.788</v>
      </c>
      <c r="F20" s="28">
        <f t="shared" si="2"/>
        <v>24.984</v>
      </c>
      <c r="G20" s="28">
        <f>[1]表五!D19-D20-E20-F20</f>
        <v>43.028</v>
      </c>
      <c r="H20" s="28">
        <f>[1]表五!E19*0.8</f>
        <v>2717.6</v>
      </c>
      <c r="I20" s="28">
        <f>[1]表五!E19*0.02</f>
        <v>67.94</v>
      </c>
      <c r="J20" s="28">
        <f>[1]表五!E19*0.02</f>
        <v>67.94</v>
      </c>
      <c r="K20" s="28"/>
      <c r="L20" s="28">
        <f>[1]表五!E19*0.04</f>
        <v>135.88</v>
      </c>
      <c r="M20" s="28"/>
      <c r="N20" s="28"/>
      <c r="O20" s="28">
        <v>9</v>
      </c>
      <c r="P20" s="28"/>
      <c r="Q20" s="28">
        <f>[1]表五!E19*0.12</f>
        <v>407.64</v>
      </c>
      <c r="R20" s="28">
        <f>[1]表五!F19*0.05</f>
        <v>4.55</v>
      </c>
      <c r="S20" s="28">
        <f>[1]表五!F19*0.25</f>
        <v>22.75</v>
      </c>
      <c r="T20" s="28"/>
      <c r="U20" s="28">
        <f>[1]表五!F19*0.35</f>
        <v>31.85</v>
      </c>
      <c r="V20" s="28">
        <f>[1]表五!F19*0.15</f>
        <v>13.65</v>
      </c>
      <c r="W20" s="28">
        <f>[1]表五!F19*0.2</f>
        <v>18.2</v>
      </c>
      <c r="X20" s="28">
        <v>493</v>
      </c>
      <c r="Y20" s="28">
        <f>[1]表五!H19*0.2</f>
        <v>0</v>
      </c>
      <c r="Z20" s="28">
        <f>[1]表五!H19*0.8</f>
        <v>0</v>
      </c>
      <c r="AA20" s="28"/>
      <c r="AB20" s="28">
        <v>1297</v>
      </c>
      <c r="AC20" s="28">
        <v>161</v>
      </c>
      <c r="AD20" s="28">
        <f>[1]表五!L19*0.14</f>
        <v>7.84</v>
      </c>
      <c r="AE20" s="28">
        <f>[1]表五!L19*0.11</f>
        <v>6.16</v>
      </c>
      <c r="AF20" s="28">
        <f>[1]表五!L19*0.75</f>
        <v>42</v>
      </c>
      <c r="AG20" s="28">
        <v>258</v>
      </c>
      <c r="AH20" s="29"/>
      <c r="AI20" s="29"/>
      <c r="AJ20" s="29"/>
      <c r="AK20" s="29"/>
      <c r="AL20" s="27">
        <f t="shared" si="3"/>
        <v>0</v>
      </c>
    </row>
    <row r="21" ht="20.1" customHeight="1" spans="1:38">
      <c r="A21" s="25" t="s">
        <v>49</v>
      </c>
      <c r="B21" s="30" t="s">
        <v>50</v>
      </c>
      <c r="C21" s="27">
        <f t="shared" si="0"/>
        <v>2499.72</v>
      </c>
      <c r="D21" s="28">
        <f>[1]表五!D20*0.6</f>
        <v>85.2</v>
      </c>
      <c r="E21" s="28">
        <f t="shared" si="1"/>
        <v>28.968</v>
      </c>
      <c r="F21" s="28">
        <f t="shared" si="2"/>
        <v>10.224</v>
      </c>
      <c r="G21" s="28">
        <f>[1]表五!D20-D21-E21-F21</f>
        <v>17.608</v>
      </c>
      <c r="H21" s="28">
        <f>[1]表五!E20*0.8</f>
        <v>459.2</v>
      </c>
      <c r="I21" s="28">
        <f>[1]表五!E20*0.02</f>
        <v>11.48</v>
      </c>
      <c r="J21" s="28">
        <f>[1]表五!E20*0.02</f>
        <v>11.48</v>
      </c>
      <c r="K21" s="28"/>
      <c r="L21" s="28">
        <f>[1]表五!E20*0.04-0.28</f>
        <v>22.68</v>
      </c>
      <c r="M21" s="28"/>
      <c r="N21" s="28"/>
      <c r="O21" s="28"/>
      <c r="P21" s="28"/>
      <c r="Q21" s="28">
        <f>[1]表五!E20*0.12</f>
        <v>68.88</v>
      </c>
      <c r="R21" s="28">
        <f>[1]表五!F20*0.05</f>
        <v>1.85</v>
      </c>
      <c r="S21" s="28">
        <f>[1]表五!F20*0.25</f>
        <v>9.25</v>
      </c>
      <c r="T21" s="28"/>
      <c r="U21" s="28">
        <f>[1]表五!F20*0.35</f>
        <v>12.95</v>
      </c>
      <c r="V21" s="28">
        <f>[1]表五!F20*0.15</f>
        <v>5.55</v>
      </c>
      <c r="W21" s="28">
        <f>[1]表五!F20*0.2</f>
        <v>7.4</v>
      </c>
      <c r="X21" s="28">
        <v>202</v>
      </c>
      <c r="Y21" s="28">
        <f>[1]表五!H20*0.2</f>
        <v>0</v>
      </c>
      <c r="Z21" s="28">
        <f>[1]表五!H20*0.8</f>
        <v>0</v>
      </c>
      <c r="AA21" s="28">
        <v>100</v>
      </c>
      <c r="AB21" s="28">
        <v>1332</v>
      </c>
      <c r="AC21" s="28">
        <v>66</v>
      </c>
      <c r="AD21" s="28">
        <f>[1]表五!L20*0.14</f>
        <v>3.22</v>
      </c>
      <c r="AE21" s="28">
        <f>[1]表五!L20*0.11</f>
        <v>2.53</v>
      </c>
      <c r="AF21" s="28">
        <f>[1]表五!L20*0.75</f>
        <v>17.25</v>
      </c>
      <c r="AG21" s="28">
        <v>24</v>
      </c>
      <c r="AH21" s="29"/>
      <c r="AI21" s="29"/>
      <c r="AJ21" s="29"/>
      <c r="AK21" s="29"/>
      <c r="AL21" s="27">
        <f t="shared" si="3"/>
        <v>0</v>
      </c>
    </row>
    <row r="22" ht="20.1" customHeight="1" spans="1:38">
      <c r="A22" s="25" t="s">
        <v>51</v>
      </c>
      <c r="B22" s="31" t="s">
        <v>52</v>
      </c>
      <c r="C22" s="27">
        <f t="shared" si="0"/>
        <v>10</v>
      </c>
      <c r="D22" s="28">
        <f>[1]表五!D21*0.6</f>
        <v>0</v>
      </c>
      <c r="E22" s="28">
        <f t="shared" si="1"/>
        <v>0</v>
      </c>
      <c r="F22" s="28">
        <f t="shared" si="2"/>
        <v>0</v>
      </c>
      <c r="G22" s="28">
        <f>[1]表五!D21-D22-E22-F22</f>
        <v>0</v>
      </c>
      <c r="H22" s="28">
        <f>[1]表五!E21*0.8</f>
        <v>0</v>
      </c>
      <c r="I22" s="28">
        <f>[1]表五!E21*0.02</f>
        <v>0</v>
      </c>
      <c r="J22" s="28">
        <f>[1]表五!E21*0.02</f>
        <v>0</v>
      </c>
      <c r="K22" s="28"/>
      <c r="L22" s="28">
        <f>[1]表五!E21*0.04</f>
        <v>0</v>
      </c>
      <c r="M22" s="28"/>
      <c r="N22" s="28"/>
      <c r="O22" s="28"/>
      <c r="P22" s="28"/>
      <c r="Q22" s="28">
        <f>[1]表五!E21*0.12</f>
        <v>0</v>
      </c>
      <c r="R22" s="28">
        <f>[1]表五!F21*0.05</f>
        <v>0</v>
      </c>
      <c r="S22" s="28">
        <f>[1]表五!F21*0.25</f>
        <v>0</v>
      </c>
      <c r="T22" s="28"/>
      <c r="U22" s="28">
        <f>[1]表五!F21*0.35</f>
        <v>0</v>
      </c>
      <c r="V22" s="28">
        <f>[1]表五!F21*0.15</f>
        <v>0</v>
      </c>
      <c r="W22" s="28">
        <f>[1]表五!F21*0.2</f>
        <v>0</v>
      </c>
      <c r="X22" s="28"/>
      <c r="Y22" s="28">
        <f>[1]表五!H21*0.2</f>
        <v>0</v>
      </c>
      <c r="Z22" s="28">
        <f>[1]表五!H21*0.8</f>
        <v>0</v>
      </c>
      <c r="AA22" s="28"/>
      <c r="AB22" s="28">
        <v>10</v>
      </c>
      <c r="AC22" s="28"/>
      <c r="AD22" s="28">
        <f>[1]表五!L21*0.14</f>
        <v>0</v>
      </c>
      <c r="AE22" s="28">
        <f>[1]表五!L21*0.11</f>
        <v>0</v>
      </c>
      <c r="AF22" s="28">
        <f>[1]表五!L21*0.75</f>
        <v>0</v>
      </c>
      <c r="AG22" s="28"/>
      <c r="AH22" s="29"/>
      <c r="AI22" s="29"/>
      <c r="AJ22" s="29"/>
      <c r="AK22" s="29"/>
      <c r="AL22" s="27">
        <f t="shared" si="3"/>
        <v>0</v>
      </c>
    </row>
    <row r="23" ht="20.1" customHeight="1" spans="1:38">
      <c r="A23" s="25" t="s">
        <v>53</v>
      </c>
      <c r="B23" s="30" t="s">
        <v>54</v>
      </c>
      <c r="C23" s="27">
        <f t="shared" si="0"/>
        <v>0</v>
      </c>
      <c r="D23" s="28">
        <f>[1]表五!D22*0.6</f>
        <v>0</v>
      </c>
      <c r="E23" s="28">
        <f t="shared" si="1"/>
        <v>0</v>
      </c>
      <c r="F23" s="28">
        <f t="shared" si="2"/>
        <v>0</v>
      </c>
      <c r="G23" s="28">
        <f>[1]表五!D22-D23-E23-F23</f>
        <v>0</v>
      </c>
      <c r="H23" s="28">
        <f>[1]表五!E22*0.8</f>
        <v>0</v>
      </c>
      <c r="I23" s="28">
        <f>[1]表五!E22*0.02</f>
        <v>0</v>
      </c>
      <c r="J23" s="28">
        <f>[1]表五!E22*0.02</f>
        <v>0</v>
      </c>
      <c r="K23" s="28"/>
      <c r="L23" s="28">
        <f>[1]表五!E22*0.04</f>
        <v>0</v>
      </c>
      <c r="M23" s="28"/>
      <c r="N23" s="28"/>
      <c r="O23" s="28"/>
      <c r="P23" s="28"/>
      <c r="Q23" s="28">
        <f>[1]表五!E22*0.12</f>
        <v>0</v>
      </c>
      <c r="R23" s="28">
        <f>[1]表五!F22*0.05</f>
        <v>0</v>
      </c>
      <c r="S23" s="28">
        <f>[1]表五!F22*0.25</f>
        <v>0</v>
      </c>
      <c r="T23" s="28"/>
      <c r="U23" s="28">
        <f>[1]表五!F22*0.35</f>
        <v>0</v>
      </c>
      <c r="V23" s="28">
        <f>[1]表五!F22*0.15</f>
        <v>0</v>
      </c>
      <c r="W23" s="28">
        <f>[1]表五!F22*0.2</f>
        <v>0</v>
      </c>
      <c r="X23" s="28"/>
      <c r="Y23" s="28">
        <f>[1]表五!H22*0.2</f>
        <v>0</v>
      </c>
      <c r="Z23" s="28">
        <f>[1]表五!H22*0.8</f>
        <v>0</v>
      </c>
      <c r="AA23" s="28"/>
      <c r="AB23" s="28"/>
      <c r="AC23" s="28"/>
      <c r="AD23" s="28">
        <f>[1]表五!L22*0.14</f>
        <v>0</v>
      </c>
      <c r="AE23" s="28">
        <f>[1]表五!L22*0.11</f>
        <v>0</v>
      </c>
      <c r="AF23" s="28">
        <f>[1]表五!L22*0.75</f>
        <v>0</v>
      </c>
      <c r="AG23" s="28"/>
      <c r="AH23" s="29"/>
      <c r="AI23" s="29"/>
      <c r="AJ23" s="29"/>
      <c r="AK23" s="29"/>
      <c r="AL23" s="27">
        <f t="shared" si="3"/>
        <v>0</v>
      </c>
    </row>
    <row r="24" ht="20.1" customHeight="1" spans="1:38">
      <c r="A24" s="25" t="s">
        <v>55</v>
      </c>
      <c r="B24" s="30" t="s">
        <v>56</v>
      </c>
      <c r="C24" s="27">
        <f t="shared" si="0"/>
        <v>90</v>
      </c>
      <c r="D24" s="28">
        <f>[1]表五!D23*0.6</f>
        <v>3.6</v>
      </c>
      <c r="E24" s="28">
        <f t="shared" si="1"/>
        <v>1.224</v>
      </c>
      <c r="F24" s="28">
        <f t="shared" si="2"/>
        <v>0.432</v>
      </c>
      <c r="G24" s="28">
        <f>[1]表五!D23-D24-E24-F24</f>
        <v>0.744</v>
      </c>
      <c r="H24" s="28">
        <f>[1]表五!E23*0.8</f>
        <v>19.2</v>
      </c>
      <c r="I24" s="28">
        <f>[1]表五!E23*0.02</f>
        <v>0.48</v>
      </c>
      <c r="J24" s="28">
        <f>[1]表五!E23*0.02</f>
        <v>0.48</v>
      </c>
      <c r="K24" s="28"/>
      <c r="L24" s="28">
        <f>[1]表五!E23*0.04</f>
        <v>0.96</v>
      </c>
      <c r="M24" s="28"/>
      <c r="N24" s="28"/>
      <c r="O24" s="28"/>
      <c r="P24" s="28"/>
      <c r="Q24" s="28">
        <f>[1]表五!E23*0.12</f>
        <v>2.88</v>
      </c>
      <c r="R24" s="28">
        <f>[1]表五!F23*0.05</f>
        <v>0.05</v>
      </c>
      <c r="S24" s="28">
        <f>[1]表五!F23*0.25</f>
        <v>0.25</v>
      </c>
      <c r="T24" s="28"/>
      <c r="U24" s="28">
        <f>[1]表五!F23*0.35</f>
        <v>0.35</v>
      </c>
      <c r="V24" s="28">
        <f>[1]表五!F23*0.15</f>
        <v>0.15</v>
      </c>
      <c r="W24" s="28">
        <f>[1]表五!F23*0.2</f>
        <v>0.2</v>
      </c>
      <c r="X24" s="28">
        <v>8</v>
      </c>
      <c r="Y24" s="28">
        <f>[1]表五!H23*0.2</f>
        <v>0</v>
      </c>
      <c r="Z24" s="28">
        <f>[1]表五!H23*0.8</f>
        <v>0</v>
      </c>
      <c r="AA24" s="28"/>
      <c r="AB24" s="28">
        <v>21</v>
      </c>
      <c r="AC24" s="28">
        <v>3</v>
      </c>
      <c r="AD24" s="28">
        <f>[1]表五!L23*0.14</f>
        <v>0.14</v>
      </c>
      <c r="AE24" s="28">
        <f>[1]表五!L23*0.11</f>
        <v>0.11</v>
      </c>
      <c r="AF24" s="28">
        <f>[1]表五!L23*0.75</f>
        <v>0.75</v>
      </c>
      <c r="AG24" s="28">
        <v>26</v>
      </c>
      <c r="AH24" s="29"/>
      <c r="AI24" s="29"/>
      <c r="AJ24" s="29"/>
      <c r="AK24" s="29"/>
      <c r="AL24" s="27">
        <f t="shared" si="3"/>
        <v>0</v>
      </c>
    </row>
    <row r="25" ht="20.1" customHeight="1" spans="1:38">
      <c r="A25" s="25" t="s">
        <v>57</v>
      </c>
      <c r="B25" s="30" t="s">
        <v>58</v>
      </c>
      <c r="C25" s="27">
        <f t="shared" si="0"/>
        <v>9681</v>
      </c>
      <c r="D25" s="28">
        <f>[1]表五!D24*0.6</f>
        <v>930</v>
      </c>
      <c r="E25" s="28">
        <f t="shared" si="1"/>
        <v>316.2</v>
      </c>
      <c r="F25" s="28">
        <f t="shared" si="2"/>
        <v>111.6</v>
      </c>
      <c r="G25" s="28">
        <f>[1]表五!D24-D25-E25-F25</f>
        <v>192.2</v>
      </c>
      <c r="H25" s="28">
        <f>[1]表五!E24*0.8</f>
        <v>2104</v>
      </c>
      <c r="I25" s="28">
        <f>[1]表五!E24*0.02</f>
        <v>52.6</v>
      </c>
      <c r="J25" s="28">
        <f>[1]表五!E24*0.02</f>
        <v>52.6</v>
      </c>
      <c r="K25" s="28"/>
      <c r="L25" s="28">
        <f>[1]表五!E24*0.04</f>
        <v>105.2</v>
      </c>
      <c r="M25" s="28">
        <v>16</v>
      </c>
      <c r="N25" s="28"/>
      <c r="O25" s="28"/>
      <c r="P25" s="28"/>
      <c r="Q25" s="28">
        <f>[1]表五!E24*0.12</f>
        <v>315.6</v>
      </c>
      <c r="R25" s="28">
        <f>[1]表五!F24*0.05</f>
        <v>57.2</v>
      </c>
      <c r="S25" s="28">
        <f>[1]表五!F24*0.25</f>
        <v>286</v>
      </c>
      <c r="T25" s="28"/>
      <c r="U25" s="28">
        <f>[1]表五!F24*0.35</f>
        <v>400.4</v>
      </c>
      <c r="V25" s="28">
        <f>[1]表五!F24*0.15</f>
        <v>171.6</v>
      </c>
      <c r="W25" s="28">
        <f>[1]表五!F24*0.2</f>
        <v>228.8</v>
      </c>
      <c r="X25" s="28">
        <v>780</v>
      </c>
      <c r="Y25" s="28">
        <f>[1]表五!H24*0.2</f>
        <v>116.8</v>
      </c>
      <c r="Z25" s="28">
        <f>[1]表五!H24*0.8</f>
        <v>467.2</v>
      </c>
      <c r="AA25" s="28"/>
      <c r="AB25" s="28">
        <v>2055</v>
      </c>
      <c r="AC25" s="28">
        <v>254</v>
      </c>
      <c r="AD25" s="28">
        <f>[1]表五!L24*0.14</f>
        <v>12.32</v>
      </c>
      <c r="AE25" s="28">
        <f>[1]表五!L24*0.11</f>
        <v>9.68</v>
      </c>
      <c r="AF25" s="28">
        <f>[1]表五!L24*0.75</f>
        <v>66</v>
      </c>
      <c r="AG25" s="28">
        <v>580</v>
      </c>
      <c r="AH25" s="29"/>
      <c r="AI25" s="29"/>
      <c r="AJ25" s="29"/>
      <c r="AK25" s="29"/>
      <c r="AL25" s="27">
        <f t="shared" si="3"/>
        <v>0</v>
      </c>
    </row>
    <row r="26" ht="20.1" customHeight="1" spans="1:38">
      <c r="A26" s="25" t="s">
        <v>59</v>
      </c>
      <c r="B26" s="30" t="s">
        <v>60</v>
      </c>
      <c r="C26" s="27">
        <f t="shared" si="0"/>
        <v>0</v>
      </c>
      <c r="D26" s="28">
        <f>[1]表五!D25*0.6</f>
        <v>0</v>
      </c>
      <c r="E26" s="28">
        <f t="shared" si="1"/>
        <v>0</v>
      </c>
      <c r="F26" s="28">
        <f t="shared" si="2"/>
        <v>0</v>
      </c>
      <c r="G26" s="28">
        <f>[1]表五!D25-D26-E26-F26</f>
        <v>0</v>
      </c>
      <c r="H26" s="28">
        <f>[1]表五!E25*0.8</f>
        <v>0</v>
      </c>
      <c r="I26" s="28">
        <f>[1]表五!E25*0.02</f>
        <v>0</v>
      </c>
      <c r="J26" s="28">
        <f>[1]表五!E25*0.02</f>
        <v>0</v>
      </c>
      <c r="K26" s="28"/>
      <c r="L26" s="28">
        <f>[1]表五!E25*0.04</f>
        <v>0</v>
      </c>
      <c r="M26" s="28"/>
      <c r="N26" s="28"/>
      <c r="O26" s="28"/>
      <c r="P26" s="28"/>
      <c r="Q26" s="28">
        <f>[1]表五!E25*0.12</f>
        <v>0</v>
      </c>
      <c r="R26" s="28">
        <f>[1]表五!F25*0.05</f>
        <v>0</v>
      </c>
      <c r="S26" s="28">
        <f>[1]表五!F25*0.25</f>
        <v>0</v>
      </c>
      <c r="T26" s="28"/>
      <c r="U26" s="28">
        <f>[1]表五!F25*0.35</f>
        <v>0</v>
      </c>
      <c r="V26" s="28">
        <f>[1]表五!F25*0.15</f>
        <v>0</v>
      </c>
      <c r="W26" s="28">
        <f>[1]表五!F25*0.2</f>
        <v>0</v>
      </c>
      <c r="X26" s="28"/>
      <c r="Y26" s="28">
        <f>[1]表五!H25*0.2</f>
        <v>0</v>
      </c>
      <c r="Z26" s="28">
        <f>[1]表五!H25*0.8</f>
        <v>0</v>
      </c>
      <c r="AA26" s="28"/>
      <c r="AB26" s="28"/>
      <c r="AC26" s="28"/>
      <c r="AD26" s="28">
        <f>[1]表五!L25*0.14</f>
        <v>0</v>
      </c>
      <c r="AE26" s="28">
        <f>[1]表五!L25*0.11</f>
        <v>0</v>
      </c>
      <c r="AF26" s="28">
        <f>[1]表五!L25*0.75</f>
        <v>0</v>
      </c>
      <c r="AG26" s="28"/>
      <c r="AH26" s="29"/>
      <c r="AI26" s="29"/>
      <c r="AJ26" s="29"/>
      <c r="AK26" s="29"/>
      <c r="AL26" s="27">
        <f t="shared" si="3"/>
        <v>0</v>
      </c>
    </row>
    <row r="27" ht="20.1" customHeight="1" spans="1:38">
      <c r="A27" s="25" t="s">
        <v>61</v>
      </c>
      <c r="B27" s="30" t="s">
        <v>62</v>
      </c>
      <c r="C27" s="27">
        <f t="shared" si="0"/>
        <v>2908</v>
      </c>
      <c r="D27" s="28">
        <f>[1]表五!D26*0.6</f>
        <v>99</v>
      </c>
      <c r="E27" s="28">
        <f t="shared" si="1"/>
        <v>33.66</v>
      </c>
      <c r="F27" s="28">
        <f t="shared" si="2"/>
        <v>11.88</v>
      </c>
      <c r="G27" s="28">
        <f>[1]表五!D26-D27-E27-F27</f>
        <v>20.46</v>
      </c>
      <c r="H27" s="28">
        <f>[1]表五!E26*0.8</f>
        <v>533.6</v>
      </c>
      <c r="I27" s="28">
        <f>[1]表五!E26*0.02</f>
        <v>13.34</v>
      </c>
      <c r="J27" s="28">
        <f>[1]表五!E26*0.02</f>
        <v>13.34</v>
      </c>
      <c r="K27" s="28"/>
      <c r="L27" s="28">
        <f>[1]表五!E26*0.04</f>
        <v>26.68</v>
      </c>
      <c r="M27" s="28"/>
      <c r="N27" s="28"/>
      <c r="O27" s="28"/>
      <c r="P27" s="28"/>
      <c r="Q27" s="28">
        <f>[1]表五!E26*0.12</f>
        <v>80.04</v>
      </c>
      <c r="R27" s="28">
        <f>[1]表五!F26*0.05</f>
        <v>2.15</v>
      </c>
      <c r="S27" s="28">
        <f>[1]表五!F26*0.25</f>
        <v>10.75</v>
      </c>
      <c r="T27" s="28"/>
      <c r="U27" s="28">
        <f>[1]表五!F26*0.35</f>
        <v>15.05</v>
      </c>
      <c r="V27" s="28">
        <f>[1]表五!F26*0.15</f>
        <v>6.45</v>
      </c>
      <c r="W27" s="28">
        <f>[1]表五!F26*0.2</f>
        <v>8.6</v>
      </c>
      <c r="X27" s="28">
        <v>235</v>
      </c>
      <c r="Y27" s="28">
        <f>[1]表五!H26*0.2</f>
        <v>0</v>
      </c>
      <c r="Z27" s="28">
        <f>[1]表五!H26*0.8</f>
        <v>0</v>
      </c>
      <c r="AA27" s="28"/>
      <c r="AB27" s="28">
        <v>618</v>
      </c>
      <c r="AC27" s="28">
        <v>77</v>
      </c>
      <c r="AD27" s="28">
        <f>[1]表五!L26*0.14</f>
        <v>3.64</v>
      </c>
      <c r="AE27" s="28">
        <f>[1]表五!L26*0.11</f>
        <v>2.86</v>
      </c>
      <c r="AF27" s="28">
        <f>[1]表五!L26*0.75</f>
        <v>19.5</v>
      </c>
      <c r="AG27" s="28">
        <v>1077</v>
      </c>
      <c r="AH27" s="29"/>
      <c r="AI27" s="29"/>
      <c r="AJ27" s="29"/>
      <c r="AK27" s="29"/>
      <c r="AL27" s="27">
        <f t="shared" si="3"/>
        <v>0</v>
      </c>
    </row>
    <row r="28" ht="20.1" customHeight="1" spans="1:38">
      <c r="A28" s="25" t="s">
        <v>63</v>
      </c>
      <c r="B28" s="31" t="s">
        <v>64</v>
      </c>
      <c r="C28" s="27">
        <f t="shared" si="0"/>
        <v>2200</v>
      </c>
      <c r="D28" s="29">
        <v>0</v>
      </c>
      <c r="E28" s="29">
        <v>0</v>
      </c>
      <c r="F28" s="29">
        <v>0</v>
      </c>
      <c r="G28" s="29">
        <v>0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>
        <v>0</v>
      </c>
      <c r="S28" s="29">
        <v>0</v>
      </c>
      <c r="T28" s="29"/>
      <c r="U28" s="29">
        <v>0</v>
      </c>
      <c r="V28" s="29">
        <v>0</v>
      </c>
      <c r="W28" s="29">
        <v>0</v>
      </c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32">
        <v>2200</v>
      </c>
      <c r="AL28" s="29"/>
    </row>
    <row r="29" ht="20.1" customHeight="1" spans="1:38">
      <c r="A29" s="25" t="s">
        <v>65</v>
      </c>
      <c r="B29" s="26" t="s">
        <v>20</v>
      </c>
      <c r="C29" s="27">
        <f t="shared" si="0"/>
        <v>3709</v>
      </c>
      <c r="D29" s="28">
        <f>[1]表五!D28*0.6</f>
        <v>12.6</v>
      </c>
      <c r="E29" s="28">
        <f>D29*0.34</f>
        <v>4.284</v>
      </c>
      <c r="F29" s="28">
        <f>D29*0.12</f>
        <v>1.512</v>
      </c>
      <c r="G29" s="28">
        <f>[1]表五!D28-D29-E29-F29</f>
        <v>2.604</v>
      </c>
      <c r="H29" s="28">
        <f>[1]表五!E28*0.8</f>
        <v>1130.4</v>
      </c>
      <c r="I29" s="28">
        <f>[1]表五!E28*0.02</f>
        <v>28.26</v>
      </c>
      <c r="J29" s="28">
        <f>[1]表五!E28*0.02</f>
        <v>28.26</v>
      </c>
      <c r="K29" s="28"/>
      <c r="L29" s="28">
        <f>[1]表五!E28*0.04</f>
        <v>56.52</v>
      </c>
      <c r="M29" s="28"/>
      <c r="N29" s="28"/>
      <c r="O29" s="28"/>
      <c r="P29" s="28"/>
      <c r="Q29" s="28">
        <f>[1]表五!E28*0.12</f>
        <v>169.56</v>
      </c>
      <c r="R29" s="28">
        <f>[1]表五!F28*0.05</f>
        <v>0.25</v>
      </c>
      <c r="S29" s="28">
        <f>[1]表五!F28*0.25</f>
        <v>1.25</v>
      </c>
      <c r="T29" s="28"/>
      <c r="U29" s="28">
        <f>[1]表五!F28*0.35</f>
        <v>1.75</v>
      </c>
      <c r="V29" s="28">
        <f>[1]表五!F28*0.15</f>
        <v>0.75</v>
      </c>
      <c r="W29" s="28">
        <f>[1]表五!F28*0.2</f>
        <v>1</v>
      </c>
      <c r="X29" s="28">
        <v>30</v>
      </c>
      <c r="Y29" s="28">
        <f>[1]表五!H28*0.2</f>
        <v>0</v>
      </c>
      <c r="Z29" s="28">
        <f>[1]表五!H28*0.8</f>
        <v>0</v>
      </c>
      <c r="AA29" s="28"/>
      <c r="AB29" s="28">
        <v>78</v>
      </c>
      <c r="AC29" s="28">
        <v>10</v>
      </c>
      <c r="AD29" s="28">
        <f>[1]表五!L28*0.14</f>
        <v>0.42</v>
      </c>
      <c r="AE29" s="28">
        <f>[1]表五!L28*0.11</f>
        <v>0.33</v>
      </c>
      <c r="AF29" s="28">
        <f>[1]表五!L28*0.75</f>
        <v>2.25</v>
      </c>
      <c r="AG29" s="28">
        <v>135</v>
      </c>
      <c r="AH29" s="29"/>
      <c r="AI29" s="29"/>
      <c r="AJ29" s="29"/>
      <c r="AK29" s="32">
        <v>2014</v>
      </c>
      <c r="AL29" s="27">
        <f>C29-SUM(D29:AK29)</f>
        <v>0</v>
      </c>
    </row>
    <row r="30" ht="20.1" customHeight="1" spans="1:38">
      <c r="A30" s="25" t="s">
        <v>66</v>
      </c>
      <c r="B30" s="30" t="s">
        <v>67</v>
      </c>
      <c r="C30" s="27">
        <f t="shared" si="0"/>
        <v>5610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32">
        <v>5610</v>
      </c>
      <c r="AI30" s="29"/>
      <c r="AJ30" s="29"/>
      <c r="AK30" s="29"/>
      <c r="AL30" s="29"/>
    </row>
    <row r="31" ht="20.1" customHeight="1" spans="1:38">
      <c r="A31" s="25" t="s">
        <v>68</v>
      </c>
      <c r="B31" s="30" t="s">
        <v>69</v>
      </c>
      <c r="C31" s="27">
        <f>VLOOKUP(A31,'[1]表二之一（类款级汇总）'!$A$6:$E$221,5,0)</f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32">
        <f>C31</f>
        <v>0</v>
      </c>
      <c r="AI31" s="29"/>
      <c r="AJ31" s="29"/>
      <c r="AK31" s="29"/>
      <c r="AL31" s="29"/>
    </row>
    <row r="32" ht="20.1" customHeight="1" spans="1:38">
      <c r="A32" s="25" t="s">
        <v>70</v>
      </c>
      <c r="B32" s="26" t="s">
        <v>18</v>
      </c>
      <c r="C32" s="27">
        <f>'[1]表三之一（汇总表）'!$L$8</f>
        <v>17430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32">
        <f>C32</f>
        <v>17430</v>
      </c>
      <c r="AK32" s="29"/>
      <c r="AL32" s="29"/>
    </row>
    <row r="33" ht="20.1" customHeight="1" spans="1:38">
      <c r="A33" s="25" t="s">
        <v>71</v>
      </c>
      <c r="B33" s="26" t="s">
        <v>17</v>
      </c>
      <c r="C33" s="27">
        <f>'[1]表三之一（汇总表）'!$L$104</f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32">
        <f>C33</f>
        <v>0</v>
      </c>
      <c r="AJ33" s="29"/>
      <c r="AK33" s="29"/>
      <c r="AL33" s="29"/>
    </row>
    <row r="34" ht="20.1" customHeight="1" spans="1:38">
      <c r="A34" s="25"/>
      <c r="B34" s="33"/>
      <c r="C34" s="34"/>
      <c r="D34" s="35"/>
      <c r="E34" s="35"/>
      <c r="F34" s="35"/>
      <c r="G34" s="35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5"/>
      <c r="S34" s="35"/>
      <c r="T34" s="35"/>
      <c r="U34" s="35"/>
      <c r="V34" s="35"/>
      <c r="W34" s="35"/>
      <c r="X34" s="35"/>
      <c r="Y34" s="35"/>
      <c r="Z34" s="35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ht="20.1" customHeight="1" spans="1:38">
      <c r="A35" s="37" t="s">
        <v>72</v>
      </c>
      <c r="B35" s="38"/>
      <c r="C35" s="27">
        <f t="shared" ref="C35:AK35" si="4">SUM(C7:C33)</f>
        <v>240780</v>
      </c>
      <c r="D35" s="27">
        <f t="shared" si="4"/>
        <v>14145.6</v>
      </c>
      <c r="E35" s="27">
        <f t="shared" si="4"/>
        <v>4809.504</v>
      </c>
      <c r="F35" s="27">
        <f t="shared" si="4"/>
        <v>1697.472</v>
      </c>
      <c r="G35" s="27">
        <f t="shared" si="4"/>
        <v>2923.424</v>
      </c>
      <c r="H35" s="27">
        <f t="shared" si="4"/>
        <v>58465.6</v>
      </c>
      <c r="I35" s="27">
        <f t="shared" si="4"/>
        <v>1461.64</v>
      </c>
      <c r="J35" s="27">
        <f t="shared" si="4"/>
        <v>1461.64</v>
      </c>
      <c r="K35" s="27">
        <f t="shared" si="4"/>
        <v>0</v>
      </c>
      <c r="L35" s="27">
        <f t="shared" si="4"/>
        <v>2923</v>
      </c>
      <c r="M35" s="27">
        <f t="shared" si="4"/>
        <v>252</v>
      </c>
      <c r="N35" s="27">
        <f t="shared" si="4"/>
        <v>16</v>
      </c>
      <c r="O35" s="27">
        <f t="shared" si="4"/>
        <v>171</v>
      </c>
      <c r="P35" s="27">
        <f t="shared" si="4"/>
        <v>0</v>
      </c>
      <c r="Q35" s="27">
        <f t="shared" si="4"/>
        <v>8331.12</v>
      </c>
      <c r="R35" s="27">
        <f t="shared" si="4"/>
        <v>357.8</v>
      </c>
      <c r="S35" s="27">
        <f t="shared" si="4"/>
        <v>1789</v>
      </c>
      <c r="T35" s="27">
        <f t="shared" si="4"/>
        <v>58</v>
      </c>
      <c r="U35" s="27">
        <f t="shared" si="4"/>
        <v>2446.6</v>
      </c>
      <c r="V35" s="27">
        <f t="shared" si="4"/>
        <v>1073.4</v>
      </c>
      <c r="W35" s="27">
        <f t="shared" si="4"/>
        <v>1431.2</v>
      </c>
      <c r="X35" s="27">
        <f t="shared" si="4"/>
        <v>16069</v>
      </c>
      <c r="Y35" s="27">
        <f t="shared" si="4"/>
        <v>6089.4</v>
      </c>
      <c r="Z35" s="27">
        <f t="shared" si="4"/>
        <v>24357.6</v>
      </c>
      <c r="AA35" s="27">
        <f t="shared" si="4"/>
        <v>919</v>
      </c>
      <c r="AB35" s="27">
        <f t="shared" si="4"/>
        <v>25785</v>
      </c>
      <c r="AC35" s="27">
        <f t="shared" si="4"/>
        <v>4574</v>
      </c>
      <c r="AD35" s="27">
        <f t="shared" si="4"/>
        <v>3421.74</v>
      </c>
      <c r="AE35" s="27">
        <f t="shared" si="4"/>
        <v>2688.51</v>
      </c>
      <c r="AF35" s="27">
        <f t="shared" si="4"/>
        <v>18330.75</v>
      </c>
      <c r="AG35" s="27">
        <f t="shared" si="4"/>
        <v>7477</v>
      </c>
      <c r="AH35" s="27">
        <f t="shared" si="4"/>
        <v>5610</v>
      </c>
      <c r="AI35" s="27">
        <f t="shared" si="4"/>
        <v>0</v>
      </c>
      <c r="AJ35" s="27">
        <f t="shared" si="4"/>
        <v>17430</v>
      </c>
      <c r="AK35" s="27">
        <f t="shared" si="4"/>
        <v>4214</v>
      </c>
      <c r="AL35" s="27">
        <f>C35-SUM(D35:AK35)</f>
        <v>0</v>
      </c>
    </row>
  </sheetData>
  <sheetProtection autoFilter="0"/>
  <mergeCells count="20">
    <mergeCell ref="A2:AL2"/>
    <mergeCell ref="A4:B4"/>
    <mergeCell ref="D4:G4"/>
    <mergeCell ref="H4:Q4"/>
    <mergeCell ref="R4:W4"/>
    <mergeCell ref="Y4:Z4"/>
    <mergeCell ref="AD4:AF4"/>
    <mergeCell ref="D5:G5"/>
    <mergeCell ref="H5:Q5"/>
    <mergeCell ref="R5:W5"/>
    <mergeCell ref="Y5:Z5"/>
    <mergeCell ref="AD5:AF5"/>
    <mergeCell ref="A35:B35"/>
    <mergeCell ref="A5:A6"/>
    <mergeCell ref="B5:B6"/>
    <mergeCell ref="C4:C6"/>
    <mergeCell ref="X5:X6"/>
    <mergeCell ref="AB5:AB6"/>
    <mergeCell ref="AC5:AC6"/>
    <mergeCell ref="AG5:AG6"/>
  </mergeCells>
  <printOptions horizontalCentered="1"/>
  <pageMargins left="0.47244094488189" right="0.47244094488189" top="0.433070866141732" bottom="0.15748031496063" header="0.118110236220472" footer="0.118110236220472"/>
  <pageSetup paperSize="9" scale="37" fitToHeight="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2026简表</vt:lpstr>
      <vt:lpstr>2026总表</vt:lpstr>
      <vt:lpstr>2025表 </vt:lpstr>
      <vt:lpstr>总表 (2)</vt:lpstr>
      <vt:lpstr>总表 (带公式)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皇家轰炸机</cp:lastModifiedBy>
  <dcterms:created xsi:type="dcterms:W3CDTF">2024-03-20T02:19:00Z</dcterms:created>
  <dcterms:modified xsi:type="dcterms:W3CDTF">2026-03-13T02:58:28Z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93A15560473148B2B778698450380667_13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